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vedoucí\martynkovah (p20-geminihome$)\_Matroše_RADA\2017\ZMČ_2017_12_18\"/>
    </mc:Choice>
  </mc:AlternateContent>
  <bookViews>
    <workbookView xWindow="480" yWindow="96" windowWidth="20736" windowHeight="11760"/>
  </bookViews>
  <sheets>
    <sheet name="Závazné ukazatele BV" sheetId="1" r:id="rId1"/>
    <sheet name="Závazné ukazatele_inv.výdajů" sheetId="2" r:id="rId2"/>
    <sheet name="List1" sheetId="3" r:id="rId3"/>
  </sheets>
  <externalReferences>
    <externalReference r:id="rId4"/>
  </externalReferences>
  <definedNames>
    <definedName name="_xlnm.Print_Titles" localSheetId="1">'Závazné ukazatele_inv.výdajů'!$3:$3</definedName>
    <definedName name="_xlnm.Print_Area" localSheetId="0">'Závazné ukazatele BV'!$A$1:$H$206</definedName>
    <definedName name="_xlnm.Print_Area" localSheetId="1">'Závazné ukazatele_inv.výdajů'!$D$1:$L$74</definedName>
  </definedNames>
  <calcPr calcId="152511"/>
</workbook>
</file>

<file path=xl/calcChain.xml><?xml version="1.0" encoding="utf-8"?>
<calcChain xmlns="http://schemas.openxmlformats.org/spreadsheetml/2006/main">
  <c r="G26" i="1" l="1"/>
  <c r="G39" i="1"/>
  <c r="L73" i="2" l="1"/>
  <c r="G5" i="1" l="1"/>
  <c r="L13" i="2" l="1"/>
  <c r="L14" i="2"/>
  <c r="L26" i="2"/>
  <c r="F192" i="1" l="1"/>
  <c r="H107" i="1" l="1"/>
  <c r="G57" i="1" l="1"/>
  <c r="L16" i="2"/>
  <c r="L20" i="2"/>
  <c r="L61" i="2"/>
  <c r="G9" i="1" l="1"/>
  <c r="G31" i="1"/>
  <c r="F190" i="1" l="1"/>
  <c r="G64" i="1" l="1"/>
  <c r="G6" i="1" l="1"/>
  <c r="G55" i="1" l="1"/>
  <c r="G205" i="1" l="1"/>
  <c r="G96" i="1"/>
  <c r="G152" i="1" s="1"/>
  <c r="H95" i="1"/>
  <c r="G54" i="1" l="1"/>
  <c r="L69" i="2"/>
  <c r="G52" i="1" l="1"/>
  <c r="L35" i="2"/>
  <c r="H106" i="1" l="1"/>
  <c r="H105" i="1"/>
  <c r="G47" i="1"/>
  <c r="G29" i="1"/>
  <c r="G75" i="1" l="1"/>
  <c r="G76" i="1"/>
  <c r="L17" i="2" l="1"/>
  <c r="G28" i="1" l="1"/>
  <c r="G90" i="1" s="1"/>
  <c r="L34" i="2" l="1"/>
  <c r="G156" i="1" l="1"/>
  <c r="L5" i="2"/>
  <c r="L4" i="2"/>
  <c r="J74" i="2" l="1"/>
  <c r="L74" i="2" s="1"/>
  <c r="H205" i="1"/>
  <c r="H104" i="1"/>
  <c r="F96" i="1"/>
  <c r="H96" i="1" s="1"/>
  <c r="K75" i="2"/>
  <c r="F204" i="1"/>
  <c r="F206" i="1" s="1"/>
  <c r="F98" i="1"/>
  <c r="F197" i="1"/>
  <c r="F188" i="1"/>
  <c r="F187" i="1"/>
  <c r="F185" i="1" s="1"/>
  <c r="F182" i="1"/>
  <c r="F178" i="1"/>
  <c r="F174" i="1"/>
  <c r="F169" i="1"/>
  <c r="F166" i="1"/>
  <c r="F160" i="1"/>
  <c r="G74" i="2"/>
  <c r="H74" i="2"/>
  <c r="J75" i="2"/>
  <c r="F112" i="1"/>
  <c r="H112" i="1" s="1"/>
  <c r="F86" i="1"/>
  <c r="F84" i="1"/>
  <c r="F83" i="1"/>
  <c r="F82" i="1"/>
  <c r="F81" i="1"/>
  <c r="F80" i="1"/>
  <c r="F79" i="1"/>
  <c r="F78" i="1"/>
  <c r="F76" i="1"/>
  <c r="F75" i="1"/>
  <c r="F64" i="1"/>
  <c r="F39" i="1"/>
  <c r="F36" i="1"/>
  <c r="F34" i="1"/>
  <c r="F33" i="1"/>
  <c r="F26" i="1"/>
  <c r="F23" i="1"/>
  <c r="F10" i="1"/>
  <c r="F9" i="1"/>
  <c r="F153" i="1" l="1"/>
  <c r="F152" i="1"/>
  <c r="H152" i="1"/>
  <c r="F208" i="1" s="1"/>
  <c r="H153" i="1"/>
  <c r="F201" i="1"/>
  <c r="F90" i="1"/>
  <c r="H90" i="1" s="1"/>
  <c r="F212" i="1" l="1"/>
  <c r="F209" i="1"/>
  <c r="F211" i="1"/>
  <c r="F154" i="1"/>
  <c r="H157" i="1" s="1"/>
  <c r="F214" i="1" l="1"/>
</calcChain>
</file>

<file path=xl/sharedStrings.xml><?xml version="1.0" encoding="utf-8"?>
<sst xmlns="http://schemas.openxmlformats.org/spreadsheetml/2006/main" count="722" uniqueCount="404">
  <si>
    <t>Návrh rozpočtu na rok 2017</t>
  </si>
  <si>
    <t>Závazné ukazatele běžných výdajů na rok 2017</t>
  </si>
  <si>
    <t>Kč</t>
  </si>
  <si>
    <t>Druh výdaje</t>
  </si>
  <si>
    <t>Odvětvové třídění RS</t>
  </si>
  <si>
    <t>Druhové třídění RS</t>
  </si>
  <si>
    <t xml:space="preserve"> ORJ / UZ </t>
  </si>
  <si>
    <t>ORG</t>
  </si>
  <si>
    <t>Návrh rozpočet 2016</t>
  </si>
  <si>
    <t>Úprava</t>
  </si>
  <si>
    <t xml:space="preserve">Odobor ekonomický a mzdové výdaje a náhrady, </t>
  </si>
  <si>
    <t>5xxx (bez položky 5349)</t>
  </si>
  <si>
    <t>ORJ12, UZ 00</t>
  </si>
  <si>
    <t>Sociální fond</t>
  </si>
  <si>
    <t xml:space="preserve">Odbor hosporářské správy a investic </t>
  </si>
  <si>
    <t>5xxx</t>
  </si>
  <si>
    <t>ORJ 20, UZ 00</t>
  </si>
  <si>
    <t>Odbor hosporářské správy a investic - čerpání z dotace VHP</t>
  </si>
  <si>
    <t>ORJ 20, UZ 98</t>
  </si>
  <si>
    <t>RO 10 úprava příjmů dle skutečnosti, lavička VH, navýšení nákladů na opravy, projekt podaná ruka, školení OŽPD</t>
  </si>
  <si>
    <t>5XXX</t>
  </si>
  <si>
    <t>ORJ 20</t>
  </si>
  <si>
    <t>RO 1 schvalované ZMČ - dotace na prozoz SD rok 2017</t>
  </si>
  <si>
    <t>UZ 81</t>
  </si>
  <si>
    <t>RO 4 OP Zaměstnanost</t>
  </si>
  <si>
    <t>UZ 13013</t>
  </si>
  <si>
    <t xml:space="preserve"> RO 13 OP Zaměstnanost</t>
  </si>
  <si>
    <r>
      <t>MA21 - Národní síť zdravých měst</t>
    </r>
    <r>
      <rPr>
        <sz val="11"/>
        <color indexed="10"/>
        <rFont val="Calibri"/>
        <family val="2"/>
        <charset val="238"/>
      </rPr>
      <t xml:space="preserve"> </t>
    </r>
  </si>
  <si>
    <t>ORJ 13, UZ 00</t>
  </si>
  <si>
    <t>Kancelář úřadu Městské části</t>
  </si>
  <si>
    <t>ORJ 11, UZ 00</t>
  </si>
  <si>
    <t>RO 2</t>
  </si>
  <si>
    <t>RO 11 - rozpuštění rezervy na dary poskytnuté na základě usnesení RMČ konané dne 14. 3. 2017</t>
  </si>
  <si>
    <t>ORJ 11,ORJ 30</t>
  </si>
  <si>
    <t>Odbor výstavby a územního rozvoje</t>
  </si>
  <si>
    <t>ORJ 15, UZ 00</t>
  </si>
  <si>
    <t xml:space="preserve">Výbor pro partnerství </t>
  </si>
  <si>
    <t>ORJ 14, UZ 00</t>
  </si>
  <si>
    <t>Odbor živnostenský a občanskosprávních agend</t>
  </si>
  <si>
    <t>Odbor sociálních věcí</t>
  </si>
  <si>
    <t>ORJ 30, UZ 00</t>
  </si>
  <si>
    <t>522x,5339</t>
  </si>
  <si>
    <t>ORJ 30</t>
  </si>
  <si>
    <t>RO 3 výkon pěstounské péče</t>
  </si>
  <si>
    <t>UZ 13010</t>
  </si>
  <si>
    <t>RO 7 dotace pečovatelská služba z MPSV</t>
  </si>
  <si>
    <t>UZ 13305</t>
  </si>
  <si>
    <t>RO 8 dotace pečovatelská služby z MHMP</t>
  </si>
  <si>
    <t>Podpora kultury, školství a sociální oblasti z dotace VHP</t>
  </si>
  <si>
    <t>ORJ 30, UZ 98</t>
  </si>
  <si>
    <t>ORJ 30,UZ 98</t>
  </si>
  <si>
    <t>Neinvestiční příspěvky zřízeným PO z rozpočtu MČ (včetně ŠJ) provozní i účelové</t>
  </si>
  <si>
    <t>ORJ 40, UZ 00</t>
  </si>
  <si>
    <t>Neinvestiční příspěvky zřízeným PO z rozpočtu MČ účelové hrazené z dotace VHP</t>
  </si>
  <si>
    <t>ORJ 40, UZ 98</t>
  </si>
  <si>
    <t>RO 5 - granty v obl. volného času dětí a mládeže (tábory DDM)</t>
  </si>
  <si>
    <t>RO 6 - dotace pro MVK</t>
  </si>
  <si>
    <t>RO 9 - dotace ZŠ Ratibořická, pospora Systémové výuky českého jazyka</t>
  </si>
  <si>
    <t>UZ 108</t>
  </si>
  <si>
    <t>Podpora nestátní neziskové organizace sport</t>
  </si>
  <si>
    <t>UZ 98</t>
  </si>
  <si>
    <t>Podpora ostatní sportovní činnosti z dotace VHP</t>
  </si>
  <si>
    <t>Projekt MAP vzdělávání - povinná spoluúčast projektu</t>
  </si>
  <si>
    <t>UZ 77</t>
  </si>
  <si>
    <t>Projekt MAP vzdělávání - EU</t>
  </si>
  <si>
    <t>UZ 103533063</t>
  </si>
  <si>
    <t>Projekt MAP Vzdělávání - SR</t>
  </si>
  <si>
    <t>UZ 103133063</t>
  </si>
  <si>
    <t>Odbor životního prostředí a dopravy</t>
  </si>
  <si>
    <t>ORJ 50, UZ 00</t>
  </si>
  <si>
    <t>Cyklodoprava</t>
  </si>
  <si>
    <t>Odbor místního hospodářství</t>
  </si>
  <si>
    <t>ORJ 60, UZ 00</t>
  </si>
  <si>
    <t>Oddělení informatiky a správy dat</t>
  </si>
  <si>
    <t>ORJ 70, UZ 00</t>
  </si>
  <si>
    <t xml:space="preserve">Běžné výdaje - třída 5 </t>
  </si>
  <si>
    <t>Závazné ukazatelé příjmů:</t>
  </si>
  <si>
    <t>rok 2017</t>
  </si>
  <si>
    <t>Daňové příjmy</t>
  </si>
  <si>
    <t>1XXX</t>
  </si>
  <si>
    <t>Nedaňové příjmy</t>
  </si>
  <si>
    <t>2XXX</t>
  </si>
  <si>
    <t xml:space="preserve">z nedaňových příjmů: </t>
  </si>
  <si>
    <t>odvody příspěvkových organizací:</t>
  </si>
  <si>
    <t>FZŠ Chodovická</t>
  </si>
  <si>
    <t>ZŠ a MŠ Spojenců</t>
  </si>
  <si>
    <t>MŠ Rybníček</t>
  </si>
  <si>
    <t>Chvalský zámek</t>
  </si>
  <si>
    <t>splátky půjčených prostředků od obecně prosp. spol. a jiných subjektů (Neposeda z.ú.)</t>
  </si>
  <si>
    <t xml:space="preserve">  splátky půjčených prostředků od obyvatelstva ( sociálního fond) </t>
  </si>
  <si>
    <t>2xxx</t>
  </si>
  <si>
    <t>Kapitálové příjmy</t>
  </si>
  <si>
    <t>3XXX</t>
  </si>
  <si>
    <t>Přijaté dotace</t>
  </si>
  <si>
    <t>neinvestiční prijaté transfery ze SR státní správa</t>
  </si>
  <si>
    <t>neinvestiční transfery přijaté od obcí MHMP</t>
  </si>
  <si>
    <t>převody z vlastních fondů (VHČ, SBF)</t>
  </si>
  <si>
    <t>RO 3 výkon pěstouské péče</t>
  </si>
  <si>
    <t xml:space="preserve">   RO 5 - granty v obl. Volného času dětí a mládeže (tábory DDM)</t>
  </si>
  <si>
    <t xml:space="preserve">   RO 6 - dotace pro MVK</t>
  </si>
  <si>
    <t xml:space="preserve">   RO 7 dotace pečovatelská služba z MPSV</t>
  </si>
  <si>
    <t xml:space="preserve">   RO 9 - dotace ZŠ Ratibořická, pospora Systémové výuky českého jazyka</t>
  </si>
  <si>
    <t xml:space="preserve">   RO 8 dotace pečovatelská služby z MHMP</t>
  </si>
  <si>
    <t>Příjmy celkem</t>
  </si>
  <si>
    <t>Investiční výdaje</t>
  </si>
  <si>
    <t>6XXX</t>
  </si>
  <si>
    <t>6xxx</t>
  </si>
  <si>
    <t>Financování z vlastních zdrojů (fin. prostředky z BÚ)</t>
  </si>
  <si>
    <t>Závazné ukazatele příspěvkové organizace MČ P20</t>
  </si>
  <si>
    <t>ZŠ Ratibořická</t>
  </si>
  <si>
    <t>Neinvestiční příspěvek na provoz</t>
  </si>
  <si>
    <t>Neinvestiční příspěvek ŠJ</t>
  </si>
  <si>
    <t xml:space="preserve">Investiční účelový příspěvek </t>
  </si>
  <si>
    <t>Neinvestiční účelový příspěvky</t>
  </si>
  <si>
    <t>Neinvestiční účelový příspěvky UZ 98</t>
  </si>
  <si>
    <t>ZŠ Stoliňská</t>
  </si>
  <si>
    <t>MŠ Chodovická</t>
  </si>
  <si>
    <t>MŠ U Rybníčku</t>
  </si>
  <si>
    <t>DDM</t>
  </si>
  <si>
    <t>MVK</t>
  </si>
  <si>
    <t>KC</t>
  </si>
  <si>
    <t xml:space="preserve"> z neinvestičního příspěvku na provoz mzdové prostředky</t>
  </si>
  <si>
    <t>PO celkem</t>
  </si>
  <si>
    <t xml:space="preserve">Rozpočet sociálního fondu - účet 236 </t>
  </si>
  <si>
    <t>Dotace sociálního fondu na rok 2017 z rozpočtu MČ</t>
  </si>
  <si>
    <t xml:space="preserve">Splátky půjček z sociálního fondu v roce 2014 </t>
  </si>
  <si>
    <t xml:space="preserve">Výdaje sociálního fondu </t>
  </si>
  <si>
    <t>Příjmy celkem před konsolidací</t>
  </si>
  <si>
    <t>Příjmy celkem po konsolidaci</t>
  </si>
  <si>
    <t>Výdaje celkem před konsolidací</t>
  </si>
  <si>
    <t>Výdaje celkem po konsolidaci</t>
  </si>
  <si>
    <t>Financování před konsolidací</t>
  </si>
  <si>
    <t>Návrh rozpočtu investičních výdajů na rok 2016</t>
  </si>
  <si>
    <t>Závazné ukazatele investičních/kapitálových výdajů na rok 2017</t>
  </si>
  <si>
    <t>Odd.par.</t>
  </si>
  <si>
    <t>Položka</t>
  </si>
  <si>
    <t>Odbor</t>
  </si>
  <si>
    <t>Objekt (místo inv. akce)</t>
  </si>
  <si>
    <t>Popis investiční akce</t>
  </si>
  <si>
    <t>Celkové předpokládané inv. náklady</t>
  </si>
  <si>
    <t>Převod z roku 2016</t>
  </si>
  <si>
    <t>Organizační členění</t>
  </si>
  <si>
    <t>Rozpočet rok 2017</t>
  </si>
  <si>
    <t>Změna ORG</t>
  </si>
  <si>
    <t>Úpravy</t>
  </si>
  <si>
    <t>HSI</t>
  </si>
  <si>
    <t>chodníky Náchodská</t>
  </si>
  <si>
    <t>rekonstrukce</t>
  </si>
  <si>
    <t xml:space="preserve">ul. Mezilesí </t>
  </si>
  <si>
    <t>Náchodská 754</t>
  </si>
  <si>
    <t>rekonstrukce objetku</t>
  </si>
  <si>
    <t>ul. Ve Žlíbku</t>
  </si>
  <si>
    <t>chodníky</t>
  </si>
  <si>
    <t>Pozemek 4276/1</t>
  </si>
  <si>
    <t>vybudování sportoviště</t>
  </si>
  <si>
    <t>ČOV bývalá</t>
  </si>
  <si>
    <t>rekonstrukce objektu</t>
  </si>
  <si>
    <t>Dobšická ul.</t>
  </si>
  <si>
    <t>půdní vestavba v bytových domech</t>
  </si>
  <si>
    <t>Úřad</t>
  </si>
  <si>
    <t>programové vybavení</t>
  </si>
  <si>
    <t>Jívanská 635, 647</t>
  </si>
  <si>
    <t>klimatizace do budov ÚMČ</t>
  </si>
  <si>
    <t>Jívanská 635</t>
  </si>
  <si>
    <t>rekonstrukce vytápění</t>
  </si>
  <si>
    <t>Jívanská 647</t>
  </si>
  <si>
    <t>PD - přístavba budovy ÚMČ</t>
  </si>
  <si>
    <t>MH</t>
  </si>
  <si>
    <t>nákup multikáry</t>
  </si>
  <si>
    <t>hřbitov Horní Počernice</t>
  </si>
  <si>
    <t>rozšíření hřbitova</t>
  </si>
  <si>
    <t>osobní vozidlo</t>
  </si>
  <si>
    <t>katastr Horních Počernice</t>
  </si>
  <si>
    <t>PD pro využití území Komárovská, Markupova, Jizbická</t>
  </si>
  <si>
    <t>SD</t>
  </si>
  <si>
    <t>lis kartonu</t>
  </si>
  <si>
    <t>Nolčův park</t>
  </si>
  <si>
    <t>PD revitalizace Nolčova parku</t>
  </si>
  <si>
    <t>pasporty  komunální zeleně, dřevin, travnaté plochy</t>
  </si>
  <si>
    <t>studie rekreační zóny v HP</t>
  </si>
  <si>
    <t>ostatní nákupy DDNM OŽPD</t>
  </si>
  <si>
    <t>ZŠ Spojenců</t>
  </si>
  <si>
    <t>Půdní vestavba</t>
  </si>
  <si>
    <t>Letní divadlo</t>
  </si>
  <si>
    <t>el. instalace a osvětlení areálu</t>
  </si>
  <si>
    <t>Gymnázium Chodovická</t>
  </si>
  <si>
    <t>rekonstrukce podhledů</t>
  </si>
  <si>
    <t xml:space="preserve">rekonstrukce ležatých rozvodů </t>
  </si>
  <si>
    <t>konvektomat</t>
  </si>
  <si>
    <t>venkovní šatna, WC zázení pro venkovní sportoviště</t>
  </si>
  <si>
    <t>PD nové dílny v prostoru bývalé kotelny</t>
  </si>
  <si>
    <t>OV, ŽPD</t>
  </si>
  <si>
    <t>rekonstrukce WC</t>
  </si>
  <si>
    <t>Cyklostezky</t>
  </si>
  <si>
    <t>přestavby bytu na učebnu</t>
  </si>
  <si>
    <t>zasíťování budovy</t>
  </si>
  <si>
    <t>PD klimatizace do nové budovy 2440</t>
  </si>
  <si>
    <t>vchodové dveře z ul. Chodovická</t>
  </si>
  <si>
    <t>MŠ Křovinovo nám.</t>
  </si>
  <si>
    <t>PD osvětlení zahrady</t>
  </si>
  <si>
    <t>U DPS</t>
  </si>
  <si>
    <t>stavba denního stacionáře</t>
  </si>
  <si>
    <t>ZUŠ</t>
  </si>
  <si>
    <t>zateplení a výměna oken</t>
  </si>
  <si>
    <t>OISD</t>
  </si>
  <si>
    <t>výkup pozemku pro denní stacionář</t>
  </si>
  <si>
    <t>PD vícegenerační dům</t>
  </si>
  <si>
    <t>PD startovací byty</t>
  </si>
  <si>
    <t xml:space="preserve">BD Mezilesí </t>
  </si>
  <si>
    <t>rekonstrukce střechy</t>
  </si>
  <si>
    <t>BD Mezilesí 2059-2060</t>
  </si>
  <si>
    <t>požárně bezpečnostní opatření</t>
  </si>
  <si>
    <t>BD Mezilesí</t>
  </si>
  <si>
    <t>vstupní dveře</t>
  </si>
  <si>
    <t>BD Dobšická</t>
  </si>
  <si>
    <t xml:space="preserve">participace rozpočtu </t>
  </si>
  <si>
    <t>dětské hřiště dle návrhu dětí</t>
  </si>
  <si>
    <t>výkup pozemků</t>
  </si>
  <si>
    <t xml:space="preserve">    </t>
  </si>
  <si>
    <t xml:space="preserve">Ostatní nákupy DDNM </t>
  </si>
  <si>
    <t>Areál Chvalského tvrze</t>
  </si>
  <si>
    <t>rekonstrukce fasády objektu Špejchar</t>
  </si>
  <si>
    <t>rekonstrukce objektu stodoly</t>
  </si>
  <si>
    <t>sportovní hala</t>
  </si>
  <si>
    <t>vstupní rampa</t>
  </si>
  <si>
    <t>Park před divadlem HP</t>
  </si>
  <si>
    <t>lavička Václava Havla</t>
  </si>
  <si>
    <t>FZŠ a gymnázium Chodovická</t>
  </si>
  <si>
    <t>výtahy do 1. a 2. patra budovy</t>
  </si>
  <si>
    <t xml:space="preserve">PD vestavba školní dřevodílny </t>
  </si>
  <si>
    <t>rezerva kapitálových výdajů</t>
  </si>
  <si>
    <t>Investice celkem</t>
  </si>
  <si>
    <t>RO 15 - úprava výdajů OISD</t>
  </si>
  <si>
    <t xml:space="preserve"> UPS a jiné HW vybavení</t>
  </si>
  <si>
    <t>RO 15</t>
  </si>
  <si>
    <t>RO 16 - kotelna 635, individuální dotace</t>
  </si>
  <si>
    <t xml:space="preserve">   RO 17 doplatek odvodu z VHP </t>
  </si>
  <si>
    <t>RO 13 OP Zaměstnanost</t>
  </si>
  <si>
    <t>Park Houslový klíč</t>
  </si>
  <si>
    <t>RO 14</t>
  </si>
  <si>
    <t>RO 12</t>
  </si>
  <si>
    <t xml:space="preserve">   RO 18 - Park Houslový klíč</t>
  </si>
  <si>
    <t>UZ 84</t>
  </si>
  <si>
    <t>RO 19 granty prevence kriminality - Nízkoprahový klub HoPo</t>
  </si>
  <si>
    <t xml:space="preserve">   RO 19 granty prevence kriminality - Nízkoprahový klub HoPo</t>
  </si>
  <si>
    <t>RO 20 SPOD</t>
  </si>
  <si>
    <t>UZ 13011</t>
  </si>
  <si>
    <t xml:space="preserve">   RO 20 SPOD</t>
  </si>
  <si>
    <t>RO ZMČ 2 - Finanování - zapojení finančních prostředků z BÚ reko chodníky, komunikace Mezilesí</t>
  </si>
  <si>
    <t>Financování celkem</t>
  </si>
  <si>
    <t>RO ZMČ 2, ZMČ 3</t>
  </si>
  <si>
    <t>RO ZMČ 3 - Snížení financování o reko chodníky, komunikace Mezilesí</t>
  </si>
  <si>
    <t>dokumentace pro získání stavebního povolení cyklotrasa HP</t>
  </si>
  <si>
    <t>RO 21</t>
  </si>
  <si>
    <t xml:space="preserve">   RO 23 OP Zaměstnanost</t>
  </si>
  <si>
    <t>RO 23 OP Zaměstnanost</t>
  </si>
  <si>
    <t>RO 24</t>
  </si>
  <si>
    <t>pozemky 786/73 a 786/70</t>
  </si>
  <si>
    <t>hřiště víceúčelové u FZŠ Chodovická</t>
  </si>
  <si>
    <t>RO 25</t>
  </si>
  <si>
    <t>RO 14, RO 25</t>
  </si>
  <si>
    <t>RO 26 - úprava běžných výdajů koncepce sportu, poskytnut individuální dotace, úprava výdaje VPP, příjem daru na lavičku Václava Havla</t>
  </si>
  <si>
    <t>ORJ 0430</t>
  </si>
  <si>
    <t>RO 26</t>
  </si>
  <si>
    <t>3xxx</t>
  </si>
  <si>
    <t>ORJ 11</t>
  </si>
  <si>
    <t>Chvalkovická ul.</t>
  </si>
  <si>
    <t>investiční dotace na přípravu a realizaci inv. záměru gymnastické tělocvičny</t>
  </si>
  <si>
    <t>ZMC 4</t>
  </si>
  <si>
    <t>SC Xaverov</t>
  </si>
  <si>
    <t>investiční dotace výměna umělého trávníku</t>
  </si>
  <si>
    <t>ZMC 5</t>
  </si>
  <si>
    <t>RO 16, RO 17, RO26, ZMC5</t>
  </si>
  <si>
    <t>RO 17, ZMC5</t>
  </si>
  <si>
    <t>RO 27 -  uvolnění prostředků na ind. dotace, dar na Memoriál M. Turny, příjem daru lavčka VH, příjem  z pojistné události</t>
  </si>
  <si>
    <t>ORJ 630,430</t>
  </si>
  <si>
    <t>RO 28 - zkoušky odborné způsobilosti</t>
  </si>
  <si>
    <t>ORJ 11, UZ 81</t>
  </si>
  <si>
    <t xml:space="preserve">   RO 28 - zkoušky odborné způsobilosti</t>
  </si>
  <si>
    <t>RO 29 - integrace žáků</t>
  </si>
  <si>
    <t>ORJ 440, UZ 91</t>
  </si>
  <si>
    <t xml:space="preserve">   RO 29 - integrace žáků</t>
  </si>
  <si>
    <t>UZ 91</t>
  </si>
  <si>
    <t>RO 30 - posílení mzdových prostředků</t>
  </si>
  <si>
    <t xml:space="preserve">   RO 30 - posílení mzdových prostředků</t>
  </si>
  <si>
    <t>UZ 96</t>
  </si>
  <si>
    <t>ORJ 440, UZ 96</t>
  </si>
  <si>
    <t>RO 31 - primární prevence ve školách a školských zařízení 2017</t>
  </si>
  <si>
    <t>ORJ 440, UZ 81</t>
  </si>
  <si>
    <t xml:space="preserve">   RO 31 - primární prevence ve školách a školských zařízení</t>
  </si>
  <si>
    <t>UZ 17050,00104</t>
  </si>
  <si>
    <t>RO 32 - OPPK vznik komunitního centra Horní Počernice</t>
  </si>
  <si>
    <t xml:space="preserve">   RO 32 - OPPK vznik komunitního centra Horní Počernice</t>
  </si>
  <si>
    <t>UZ 17050,17985,104,105</t>
  </si>
  <si>
    <t>Vznik kulturně komunitního centra Horní Počernice</t>
  </si>
  <si>
    <t xml:space="preserve">   RO 33 -EU - Šablony ZŠ Stoliňská</t>
  </si>
  <si>
    <t>UZ 33063</t>
  </si>
  <si>
    <t>RO 33 -EU - Šablony ZŠ Stoliňská</t>
  </si>
  <si>
    <t>RO 34 - BD Dobšická, dary na lavičku VH, nákup stacionárního zařízení</t>
  </si>
  <si>
    <t>ORJ 530, UZ 98</t>
  </si>
  <si>
    <t>RO 34</t>
  </si>
  <si>
    <t>RO 35 - OP Zaměstnanost</t>
  </si>
  <si>
    <t>RO 36</t>
  </si>
  <si>
    <t>RO  36 - poskytnutí indoviduálních dotací</t>
  </si>
  <si>
    <t>ORJ 440,540,640</t>
  </si>
  <si>
    <t>RO 36 - finanční prostředky na financování PSP</t>
  </si>
  <si>
    <t>ORJ 14, 6114</t>
  </si>
  <si>
    <t xml:space="preserve">RO 37 - Vznik komunitního centra HP - financování do přijetí dotace </t>
  </si>
  <si>
    <t>ORJ 520/570</t>
  </si>
  <si>
    <t>RO 37 - poskytnutí indiv. Dotací</t>
  </si>
  <si>
    <t>ORJ 440</t>
  </si>
  <si>
    <t xml:space="preserve">   RO 34 - OP Zaměstnanost</t>
  </si>
  <si>
    <t xml:space="preserve">   RO 38 - Projekt Chráníme své zdraví - víme jak</t>
  </si>
  <si>
    <t>RO 38 - projekt Chráníme své zdraví - víme jak</t>
  </si>
  <si>
    <t>Náchodská ulice</t>
  </si>
  <si>
    <t>výkup nemovitosti pro stavbu bytového domu</t>
  </si>
  <si>
    <t>RO 40 - oprava západní zdi Chvalský zámek</t>
  </si>
  <si>
    <t>RO 41 - komunitní centrum Horní Počernice</t>
  </si>
  <si>
    <t>ORJ 5xx</t>
  </si>
  <si>
    <t>RO 42</t>
  </si>
  <si>
    <t>RO 42 - úprava příjmů a běžných výdajů</t>
  </si>
  <si>
    <t>ORJ 914, 412</t>
  </si>
  <si>
    <t>RO 43 - MAP vzdělávání - financování projektu</t>
  </si>
  <si>
    <t>ORJ 0412, 440</t>
  </si>
  <si>
    <t xml:space="preserve">   RO 44 - bezbariérový přístup do budovy FZŠ a gymnázia Chodovická</t>
  </si>
  <si>
    <t>Chodovická</t>
  </si>
  <si>
    <t>bezbariérový přístup do FZŠ a gymnázium Chodovická</t>
  </si>
  <si>
    <t>rekonstrukce chodníků</t>
  </si>
  <si>
    <t xml:space="preserve">   RO 45 - investiční dotace chodníky Náchodská, neinvestiční dotace oprava infrastruktury v HP</t>
  </si>
  <si>
    <t>UZ 84,81</t>
  </si>
  <si>
    <t>80222,bez ORG</t>
  </si>
  <si>
    <t>RO 45 - investiční dotace chodníky Náchodská, neinvestiční dotace oprava infrastruktury v HP</t>
  </si>
  <si>
    <t>ORJ 60, UZ 81</t>
  </si>
  <si>
    <t xml:space="preserve">   RO 46  - finanční prostředky vratka DPPO za rok 2016</t>
  </si>
  <si>
    <t>UZ 99</t>
  </si>
  <si>
    <t>RO 46  - finanční prostředky vratka DPPO za rok 2016</t>
  </si>
  <si>
    <t>ORJ 11, UZ 99</t>
  </si>
  <si>
    <t xml:space="preserve">   RO 47 - příjem finančních prostředků z odvodu VHP období 1.1.2017-30.4.2017</t>
  </si>
  <si>
    <t xml:space="preserve">   RO 48 - dotace z rozpočtu MHMP Křižovatka a bezbariérové Počernice</t>
  </si>
  <si>
    <t>RO 47 - příjem finančních prostředků z odvodu VHP období 1.1.2017-30.4.2017</t>
  </si>
  <si>
    <t>RO 48 - dotace z rozpočtu MHMP Křižovatka a bezbariérové Počernice</t>
  </si>
  <si>
    <t>UZ 81, 530</t>
  </si>
  <si>
    <t>RO 49 - využití kulturně komunitního centra Horní Počernice</t>
  </si>
  <si>
    <t xml:space="preserve">   RO 49 - využití kulturně komunitního centra Horní Počernice</t>
  </si>
  <si>
    <t xml:space="preserve">   RO 50 - uzavření finančního vypořádání s hl. m. Prahou za rok 2016</t>
  </si>
  <si>
    <t>RO 50 - uzavření finančního vypořádání</t>
  </si>
  <si>
    <t>ORJ 12</t>
  </si>
  <si>
    <t>konsolidace</t>
  </si>
  <si>
    <t>RO 51 - výkon sociální práce</t>
  </si>
  <si>
    <t>UZ 13015</t>
  </si>
  <si>
    <t xml:space="preserve">   RO 51 - výkon sociální práce</t>
  </si>
  <si>
    <t>RO 52</t>
  </si>
  <si>
    <t>RO 17, RO 26, RO 27,RO 34, RO52</t>
  </si>
  <si>
    <t>RO53</t>
  </si>
  <si>
    <t>RO 54</t>
  </si>
  <si>
    <t>RO 41, RO 54</t>
  </si>
  <si>
    <t>RO 10, RO 55</t>
  </si>
  <si>
    <t>RO 55</t>
  </si>
  <si>
    <t>RO 25, RO 55</t>
  </si>
  <si>
    <t>RO52, RO53, RO 55</t>
  </si>
  <si>
    <t>RO 56 - OP Zaměstnanost</t>
  </si>
  <si>
    <t xml:space="preserve">   RO 56 - OP Zaměstnanost</t>
  </si>
  <si>
    <t xml:space="preserve">  RO57 - pokrytí rozdílu mezi skutečných výdaji roku 2016 agendy SPOD a dotací</t>
  </si>
  <si>
    <t>RO 58 - příjem daru na lavičku VH</t>
  </si>
  <si>
    <t>Budova 647</t>
  </si>
  <si>
    <t>instalace elektronického zařízení hlídajícího únik vody</t>
  </si>
  <si>
    <t>RO 58</t>
  </si>
  <si>
    <t>Neinvestiční účelový příspěvek</t>
  </si>
  <si>
    <t>RO 59 - uvolnění finančních prostředků na dary schválené RMČ</t>
  </si>
  <si>
    <t>RO 59</t>
  </si>
  <si>
    <t>RO 2, RO 36, RO 37, RO 59</t>
  </si>
  <si>
    <t>RO 60 - úprava výdajů OISD</t>
  </si>
  <si>
    <t>ORJ70,UZ 00</t>
  </si>
  <si>
    <t>Cyklodoprava - cyklostezka Ve Žlíbku</t>
  </si>
  <si>
    <t>RO 24, RO 61</t>
  </si>
  <si>
    <t>Cyklodoprava - cyklostezka Božanovská</t>
  </si>
  <si>
    <t>RO 61</t>
  </si>
  <si>
    <t>RO 16,RO 61</t>
  </si>
  <si>
    <t>RO 54, RO 61</t>
  </si>
  <si>
    <t>RO 62</t>
  </si>
  <si>
    <t>Park poznání před ZŠ Ratibořická</t>
  </si>
  <si>
    <t>Vizuální odclonění popelnic</t>
  </si>
  <si>
    <t>RO 63</t>
  </si>
  <si>
    <t>RO 57, RO 61, RO 63</t>
  </si>
  <si>
    <t>Nabíjecí stanice pro elektromobily</t>
  </si>
  <si>
    <t>RO 65 - vratka části dotace na výkon pěstounské péče</t>
  </si>
  <si>
    <t>UZ 13010. 530</t>
  </si>
  <si>
    <t>RO 37, RO 42,RO 50, RO 54, RO 64</t>
  </si>
  <si>
    <t xml:space="preserve">   RO 66 - účelová dotace SPOD 2.splátka</t>
  </si>
  <si>
    <t>RO 66 - účelová dotace SPOD 2.splátka</t>
  </si>
  <si>
    <t>Výdaje odbor školství</t>
  </si>
  <si>
    <t>RO 60,RO 67</t>
  </si>
  <si>
    <t>ORJ xx40</t>
  </si>
  <si>
    <t>RO 68 - OP Zaměstnanost</t>
  </si>
  <si>
    <t xml:space="preserve">   RO 68 - OP Zaměstnanost</t>
  </si>
  <si>
    <t xml:space="preserve">   RO 69 - EU-ŠABLONY FZŠ a MŠ Chodovická</t>
  </si>
  <si>
    <t>RO 67- finanční dar Švehla a neinvestiční dotace Čechová</t>
  </si>
  <si>
    <t>RO 69 - EU-ŠABLONY FZŠ a MŠ Chodovická</t>
  </si>
  <si>
    <t>RO 70 - EU-ŠABLONY ZŠ a MŠ Spojenců</t>
  </si>
  <si>
    <t xml:space="preserve">   RO 70 - EU-ŠABLONY ZŠ a MŠ Spojenců</t>
  </si>
  <si>
    <t>RO ZMČ 6 - návratná finanční výpomoc NEPOSEDA</t>
  </si>
  <si>
    <t>RO ZMC 7 - vratka finančních prostředků z OPPK</t>
  </si>
  <si>
    <t>ORJ 70, ORG 23501</t>
  </si>
  <si>
    <t>ZMC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</si>
</sst>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43" formatCode="_-* #,##0.00\ _K_č_-;\-* #,##0.00\ _K_č_-;_-* &quot;-&quot;??\ _K_č_-;_-@_-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  <charset val="238"/>
    </font>
    <font>
      <sz val="12"/>
      <color theme="1"/>
      <name val="Calibri"/>
      <family val="2"/>
      <scheme val="minor"/>
    </font>
    <font>
      <sz val="12"/>
      <name val="Times New Roman CE"/>
    </font>
    <font>
      <sz val="10"/>
      <name val="Arial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6" fillId="0" borderId="0" applyFont="0" applyFill="0" applyBorder="0" applyAlignment="0" applyProtection="0"/>
    <xf numFmtId="0" fontId="6" fillId="0" borderId="0"/>
    <xf numFmtId="0" fontId="7" fillId="0" borderId="0"/>
  </cellStyleXfs>
  <cellXfs count="175">
    <xf numFmtId="0" fontId="0" fillId="0" borderId="0" xfId="0"/>
    <xf numFmtId="0" fontId="3" fillId="0" borderId="0" xfId="1"/>
    <xf numFmtId="0" fontId="4" fillId="0" borderId="0" xfId="1" applyFont="1"/>
    <xf numFmtId="0" fontId="3" fillId="0" borderId="0" xfId="1" applyAlignment="1">
      <alignment horizontal="right"/>
    </xf>
    <xf numFmtId="0" fontId="4" fillId="0" borderId="1" xfId="1" applyFont="1" applyBorder="1"/>
    <xf numFmtId="0" fontId="4" fillId="0" borderId="2" xfId="1" applyFont="1" applyBorder="1"/>
    <xf numFmtId="0" fontId="3" fillId="2" borderId="3" xfId="1" applyFont="1" applyFill="1" applyBorder="1"/>
    <xf numFmtId="0" fontId="3" fillId="2" borderId="0" xfId="1" applyFont="1" applyFill="1" applyBorder="1"/>
    <xf numFmtId="4" fontId="3" fillId="0" borderId="0" xfId="1" applyNumberFormat="1"/>
    <xf numFmtId="0" fontId="1" fillId="2" borderId="0" xfId="1" applyFont="1" applyFill="1" applyBorder="1"/>
    <xf numFmtId="0" fontId="1" fillId="3" borderId="0" xfId="1" applyFont="1" applyFill="1" applyBorder="1"/>
    <xf numFmtId="0" fontId="3" fillId="3" borderId="3" xfId="1" applyFont="1" applyFill="1" applyBorder="1"/>
    <xf numFmtId="0" fontId="3" fillId="3" borderId="0" xfId="1" applyFont="1" applyFill="1" applyBorder="1"/>
    <xf numFmtId="0" fontId="3" fillId="0" borderId="3" xfId="1" applyFont="1" applyBorder="1"/>
    <xf numFmtId="0" fontId="1" fillId="0" borderId="0" xfId="1" applyFont="1" applyBorder="1"/>
    <xf numFmtId="0" fontId="3" fillId="0" borderId="0" xfId="1" applyFont="1" applyBorder="1"/>
    <xf numFmtId="0" fontId="4" fillId="4" borderId="4" xfId="1" applyFont="1" applyFill="1" applyBorder="1"/>
    <xf numFmtId="0" fontId="2" fillId="0" borderId="0" xfId="1" applyFont="1"/>
    <xf numFmtId="0" fontId="8" fillId="0" borderId="0" xfId="1" applyFont="1"/>
    <xf numFmtId="0" fontId="3" fillId="0" borderId="0" xfId="1" applyBorder="1"/>
    <xf numFmtId="0" fontId="9" fillId="0" borderId="6" xfId="0" applyFont="1" applyFill="1" applyBorder="1"/>
    <xf numFmtId="0" fontId="3" fillId="0" borderId="7" xfId="1" applyBorder="1"/>
    <xf numFmtId="6" fontId="9" fillId="0" borderId="8" xfId="0" applyNumberFormat="1" applyFont="1" applyFill="1" applyBorder="1" applyAlignment="1">
      <alignment horizontal="right"/>
    </xf>
    <xf numFmtId="4" fontId="9" fillId="0" borderId="10" xfId="0" applyNumberFormat="1" applyFont="1" applyFill="1" applyBorder="1"/>
    <xf numFmtId="0" fontId="10" fillId="5" borderId="11" xfId="0" applyFont="1" applyFill="1" applyBorder="1"/>
    <xf numFmtId="0" fontId="3" fillId="0" borderId="12" xfId="1" applyBorder="1"/>
    <xf numFmtId="4" fontId="10" fillId="5" borderId="13" xfId="0" applyNumberFormat="1" applyFont="1" applyFill="1" applyBorder="1"/>
    <xf numFmtId="0" fontId="11" fillId="2" borderId="9" xfId="0" applyFont="1" applyFill="1" applyBorder="1" applyAlignment="1">
      <alignment horizontal="left" indent="1"/>
    </xf>
    <xf numFmtId="0" fontId="12" fillId="2" borderId="0" xfId="1" applyFont="1" applyFill="1" applyBorder="1"/>
    <xf numFmtId="4" fontId="13" fillId="2" borderId="10" xfId="0" applyNumberFormat="1" applyFont="1" applyFill="1" applyBorder="1"/>
    <xf numFmtId="0" fontId="14" fillId="2" borderId="0" xfId="1" applyFont="1" applyFill="1" applyBorder="1"/>
    <xf numFmtId="0" fontId="14" fillId="2" borderId="0" xfId="1" applyFont="1" applyFill="1" applyBorder="1" applyAlignment="1">
      <alignment horizontal="left"/>
    </xf>
    <xf numFmtId="4" fontId="11" fillId="2" borderId="10" xfId="0" applyNumberFormat="1" applyFont="1" applyFill="1" applyBorder="1"/>
    <xf numFmtId="0" fontId="11" fillId="2" borderId="9" xfId="0" applyFont="1" applyFill="1" applyBorder="1"/>
    <xf numFmtId="0" fontId="9" fillId="6" borderId="9" xfId="0" applyFont="1" applyFill="1" applyBorder="1" applyAlignment="1">
      <alignment horizontal="left" indent="1"/>
    </xf>
    <xf numFmtId="0" fontId="3" fillId="6" borderId="0" xfId="1" applyFill="1" applyBorder="1"/>
    <xf numFmtId="4" fontId="9" fillId="6" borderId="10" xfId="0" applyNumberFormat="1" applyFont="1" applyFill="1" applyBorder="1"/>
    <xf numFmtId="0" fontId="15" fillId="0" borderId="9" xfId="0" applyFont="1" applyFill="1" applyBorder="1"/>
    <xf numFmtId="4" fontId="3" fillId="0" borderId="14" xfId="1" applyNumberFormat="1" applyBorder="1"/>
    <xf numFmtId="0" fontId="3" fillId="0" borderId="14" xfId="1" applyBorder="1"/>
    <xf numFmtId="0" fontId="2" fillId="0" borderId="14" xfId="1" applyFont="1" applyBorder="1"/>
    <xf numFmtId="0" fontId="3" fillId="0" borderId="15" xfId="1" applyBorder="1"/>
    <xf numFmtId="4" fontId="3" fillId="0" borderId="16" xfId="1" applyNumberFormat="1" applyBorder="1"/>
    <xf numFmtId="0" fontId="3" fillId="0" borderId="16" xfId="1" applyBorder="1"/>
    <xf numFmtId="0" fontId="3" fillId="4" borderId="5" xfId="1" applyFill="1" applyBorder="1"/>
    <xf numFmtId="4" fontId="3" fillId="0" borderId="5" xfId="1" applyNumberFormat="1" applyBorder="1"/>
    <xf numFmtId="0" fontId="3" fillId="0" borderId="5" xfId="1" applyBorder="1"/>
    <xf numFmtId="4" fontId="3" fillId="4" borderId="5" xfId="1" applyNumberFormat="1" applyFill="1" applyBorder="1"/>
    <xf numFmtId="0" fontId="16" fillId="4" borderId="5" xfId="1" applyFont="1" applyFill="1" applyBorder="1"/>
    <xf numFmtId="2" fontId="3" fillId="4" borderId="5" xfId="1" applyNumberFormat="1" applyFill="1" applyBorder="1" applyAlignment="1">
      <alignment wrapText="1"/>
    </xf>
    <xf numFmtId="0" fontId="3" fillId="0" borderId="5" xfId="1" applyBorder="1" applyAlignment="1">
      <alignment horizontal="right"/>
    </xf>
    <xf numFmtId="0" fontId="3" fillId="4" borderId="5" xfId="1" applyFill="1" applyBorder="1" applyAlignment="1">
      <alignment wrapText="1"/>
    </xf>
    <xf numFmtId="0" fontId="3" fillId="4" borderId="5" xfId="1" applyFill="1" applyBorder="1" applyAlignment="1">
      <alignment horizontal="right"/>
    </xf>
    <xf numFmtId="0" fontId="16" fillId="4" borderId="5" xfId="1" applyFont="1" applyFill="1" applyBorder="1" applyAlignment="1">
      <alignment wrapText="1"/>
    </xf>
    <xf numFmtId="0" fontId="4" fillId="7" borderId="5" xfId="1" applyFont="1" applyFill="1" applyBorder="1" applyAlignment="1">
      <alignment horizontal="center" wrapText="1"/>
    </xf>
    <xf numFmtId="0" fontId="4" fillId="7" borderId="5" xfId="1" applyFont="1" applyFill="1" applyBorder="1" applyAlignment="1">
      <alignment horizontal="center"/>
    </xf>
    <xf numFmtId="0" fontId="17" fillId="0" borderId="0" xfId="1" applyFont="1"/>
    <xf numFmtId="0" fontId="3" fillId="0" borderId="11" xfId="1" applyBorder="1"/>
    <xf numFmtId="0" fontId="3" fillId="0" borderId="12" xfId="1" applyBorder="1" applyAlignment="1">
      <alignment horizontal="left"/>
    </xf>
    <xf numFmtId="4" fontId="3" fillId="0" borderId="13" xfId="1" applyNumberFormat="1" applyBorder="1"/>
    <xf numFmtId="0" fontId="0" fillId="3" borderId="0" xfId="1" applyFont="1" applyFill="1" applyBorder="1"/>
    <xf numFmtId="0" fontId="3" fillId="2" borderId="0" xfId="1" applyFont="1" applyFill="1" applyBorder="1" applyAlignment="1">
      <alignment horizontal="left"/>
    </xf>
    <xf numFmtId="0" fontId="2" fillId="0" borderId="6" xfId="1" applyFont="1" applyBorder="1"/>
    <xf numFmtId="4" fontId="2" fillId="0" borderId="8" xfId="1" applyNumberFormat="1" applyFont="1" applyBorder="1"/>
    <xf numFmtId="0" fontId="3" fillId="0" borderId="9" xfId="1" applyBorder="1"/>
    <xf numFmtId="4" fontId="3" fillId="0" borderId="10" xfId="1" applyNumberFormat="1" applyBorder="1"/>
    <xf numFmtId="0" fontId="3" fillId="0" borderId="9" xfId="1" applyBorder="1" applyAlignment="1">
      <alignment horizontal="left" indent="1"/>
    </xf>
    <xf numFmtId="0" fontId="2" fillId="0" borderId="18" xfId="1" applyFont="1" applyBorder="1"/>
    <xf numFmtId="0" fontId="2" fillId="0" borderId="19" xfId="1" applyFont="1" applyBorder="1"/>
    <xf numFmtId="4" fontId="2" fillId="0" borderId="20" xfId="1" applyNumberFormat="1" applyFont="1" applyBorder="1"/>
    <xf numFmtId="0" fontId="11" fillId="2" borderId="9" xfId="0" applyFont="1" applyFill="1" applyBorder="1" applyAlignment="1">
      <alignment horizontal="left" indent="2"/>
    </xf>
    <xf numFmtId="0" fontId="3" fillId="4" borderId="3" xfId="1" applyFont="1" applyFill="1" applyBorder="1"/>
    <xf numFmtId="0" fontId="3" fillId="4" borderId="0" xfId="1" applyFont="1" applyFill="1" applyBorder="1"/>
    <xf numFmtId="0" fontId="3" fillId="4" borderId="0" xfId="1" applyFont="1" applyFill="1" applyBorder="1" applyAlignment="1">
      <alignment horizontal="left"/>
    </xf>
    <xf numFmtId="0" fontId="1" fillId="4" borderId="0" xfId="1" applyFont="1" applyFill="1" applyBorder="1"/>
    <xf numFmtId="0" fontId="0" fillId="4" borderId="0" xfId="1" applyFont="1" applyFill="1" applyBorder="1"/>
    <xf numFmtId="0" fontId="4" fillId="0" borderId="2" xfId="1" applyFont="1" applyBorder="1" applyAlignment="1">
      <alignment wrapText="1"/>
    </xf>
    <xf numFmtId="0" fontId="3" fillId="2" borderId="0" xfId="1" applyFont="1" applyFill="1" applyBorder="1" applyAlignment="1">
      <alignment wrapText="1"/>
    </xf>
    <xf numFmtId="0" fontId="3" fillId="0" borderId="6" xfId="1" applyBorder="1"/>
    <xf numFmtId="4" fontId="3" fillId="0" borderId="8" xfId="1" applyNumberFormat="1" applyBorder="1"/>
    <xf numFmtId="0" fontId="16" fillId="6" borderId="0" xfId="1" applyFont="1" applyFill="1" applyBorder="1"/>
    <xf numFmtId="0" fontId="16" fillId="6" borderId="0" xfId="1" applyFont="1" applyFill="1" applyBorder="1" applyAlignment="1">
      <alignment horizontal="left"/>
    </xf>
    <xf numFmtId="1" fontId="4" fillId="7" borderId="5" xfId="1" applyNumberFormat="1" applyFont="1" applyFill="1" applyBorder="1" applyAlignment="1">
      <alignment horizontal="center" wrapText="1"/>
    </xf>
    <xf numFmtId="1" fontId="3" fillId="0" borderId="0" xfId="1" applyNumberFormat="1" applyAlignment="1">
      <alignment horizontal="center"/>
    </xf>
    <xf numFmtId="1" fontId="3" fillId="4" borderId="5" xfId="1" applyNumberFormat="1" applyFill="1" applyBorder="1" applyAlignment="1">
      <alignment horizontal="center"/>
    </xf>
    <xf numFmtId="1" fontId="3" fillId="0" borderId="5" xfId="1" applyNumberFormat="1" applyBorder="1" applyAlignment="1">
      <alignment horizontal="center"/>
    </xf>
    <xf numFmtId="1" fontId="3" fillId="0" borderId="16" xfId="1" applyNumberFormat="1" applyBorder="1" applyAlignment="1">
      <alignment horizontal="center"/>
    </xf>
    <xf numFmtId="1" fontId="3" fillId="0" borderId="14" xfId="1" applyNumberFormat="1" applyBorder="1" applyAlignment="1">
      <alignment horizontal="center"/>
    </xf>
    <xf numFmtId="0" fontId="3" fillId="4" borderId="16" xfId="1" applyFill="1" applyBorder="1"/>
    <xf numFmtId="0" fontId="16" fillId="4" borderId="16" xfId="1" applyFont="1" applyFill="1" applyBorder="1"/>
    <xf numFmtId="0" fontId="3" fillId="0" borderId="5" xfId="1" applyBorder="1" applyAlignment="1">
      <alignment wrapText="1"/>
    </xf>
    <xf numFmtId="4" fontId="3" fillId="4" borderId="16" xfId="1" applyNumberFormat="1" applyFill="1" applyBorder="1"/>
    <xf numFmtId="4" fontId="16" fillId="4" borderId="16" xfId="1" applyNumberFormat="1" applyFont="1" applyFill="1" applyBorder="1"/>
    <xf numFmtId="1" fontId="3" fillId="4" borderId="16" xfId="1" applyNumberFormat="1" applyFill="1" applyBorder="1" applyAlignment="1">
      <alignment horizontal="center"/>
    </xf>
    <xf numFmtId="1" fontId="16" fillId="4" borderId="16" xfId="1" applyNumberFormat="1" applyFont="1" applyFill="1" applyBorder="1" applyAlignment="1">
      <alignment horizontal="center"/>
    </xf>
    <xf numFmtId="0" fontId="3" fillId="4" borderId="15" xfId="1" applyFill="1" applyBorder="1" applyAlignment="1">
      <alignment horizontal="left"/>
    </xf>
    <xf numFmtId="0" fontId="3" fillId="2" borderId="15" xfId="1" applyFill="1" applyBorder="1"/>
    <xf numFmtId="0" fontId="3" fillId="4" borderId="16" xfId="1" applyFill="1" applyBorder="1" applyAlignment="1">
      <alignment wrapText="1"/>
    </xf>
    <xf numFmtId="4" fontId="3" fillId="2" borderId="15" xfId="1" applyNumberFormat="1" applyFill="1" applyBorder="1"/>
    <xf numFmtId="1" fontId="3" fillId="2" borderId="15" xfId="1" applyNumberFormat="1" applyFill="1" applyBorder="1" applyAlignment="1">
      <alignment horizontal="center"/>
    </xf>
    <xf numFmtId="4" fontId="1" fillId="2" borderId="0" xfId="1" applyNumberFormat="1" applyFont="1" applyFill="1" applyBorder="1"/>
    <xf numFmtId="4" fontId="1" fillId="4" borderId="0" xfId="1" applyNumberFormat="1" applyFont="1" applyFill="1" applyBorder="1"/>
    <xf numFmtId="4" fontId="1" fillId="3" borderId="0" xfId="1" applyNumberFormat="1" applyFont="1" applyFill="1" applyBorder="1"/>
    <xf numFmtId="4" fontId="1" fillId="0" borderId="0" xfId="1" applyNumberFormat="1" applyFont="1" applyBorder="1"/>
    <xf numFmtId="4" fontId="4" fillId="4" borderId="4" xfId="1" applyNumberFormat="1" applyFont="1" applyFill="1" applyBorder="1"/>
    <xf numFmtId="4" fontId="3" fillId="0" borderId="17" xfId="1" applyNumberFormat="1" applyBorder="1"/>
    <xf numFmtId="4" fontId="3" fillId="0" borderId="21" xfId="1" applyNumberFormat="1" applyBorder="1"/>
    <xf numFmtId="4" fontId="2" fillId="0" borderId="16" xfId="1" applyNumberFormat="1" applyFont="1" applyBorder="1"/>
    <xf numFmtId="0" fontId="3" fillId="0" borderId="8" xfId="1" applyBorder="1"/>
    <xf numFmtId="0" fontId="3" fillId="0" borderId="10" xfId="1" applyBorder="1"/>
    <xf numFmtId="0" fontId="3" fillId="0" borderId="13" xfId="1" applyBorder="1"/>
    <xf numFmtId="0" fontId="3" fillId="0" borderId="17" xfId="1" applyBorder="1"/>
    <xf numFmtId="0" fontId="3" fillId="8" borderId="3" xfId="1" applyFont="1" applyFill="1" applyBorder="1"/>
    <xf numFmtId="0" fontId="3" fillId="8" borderId="0" xfId="1" applyFont="1" applyFill="1" applyBorder="1"/>
    <xf numFmtId="4" fontId="1" fillId="8" borderId="0" xfId="1" applyNumberFormat="1" applyFont="1" applyFill="1" applyBorder="1"/>
    <xf numFmtId="4" fontId="3" fillId="8" borderId="17" xfId="1" applyNumberFormat="1" applyFill="1" applyBorder="1"/>
    <xf numFmtId="0" fontId="3" fillId="8" borderId="3" xfId="1" applyFont="1" applyFill="1" applyBorder="1" applyAlignment="1">
      <alignment horizontal="left" indent="1"/>
    </xf>
    <xf numFmtId="0" fontId="3" fillId="8" borderId="0" xfId="1" applyFill="1" applyBorder="1"/>
    <xf numFmtId="0" fontId="16" fillId="8" borderId="0" xfId="1" applyFont="1" applyFill="1" applyBorder="1" applyAlignment="1">
      <alignment horizontal="left"/>
    </xf>
    <xf numFmtId="4" fontId="9" fillId="8" borderId="10" xfId="0" applyNumberFormat="1" applyFont="1" applyFill="1" applyBorder="1"/>
    <xf numFmtId="0" fontId="3" fillId="8" borderId="10" xfId="1" applyFill="1" applyBorder="1"/>
    <xf numFmtId="0" fontId="3" fillId="8" borderId="16" xfId="1" applyFill="1" applyBorder="1"/>
    <xf numFmtId="0" fontId="16" fillId="8" borderId="16" xfId="1" applyFont="1" applyFill="1" applyBorder="1"/>
    <xf numFmtId="4" fontId="16" fillId="8" borderId="16" xfId="1" applyNumberFormat="1" applyFont="1" applyFill="1" applyBorder="1"/>
    <xf numFmtId="1" fontId="16" fillId="8" borderId="16" xfId="1" applyNumberFormat="1" applyFont="1" applyFill="1" applyBorder="1" applyAlignment="1">
      <alignment horizontal="center"/>
    </xf>
    <xf numFmtId="0" fontId="3" fillId="8" borderId="17" xfId="1" applyFill="1" applyBorder="1"/>
    <xf numFmtId="0" fontId="3" fillId="8" borderId="0" xfId="1" applyFont="1" applyFill="1" applyBorder="1" applyAlignment="1">
      <alignment horizontal="left" indent="1"/>
    </xf>
    <xf numFmtId="0" fontId="3" fillId="8" borderId="0" xfId="1" applyFont="1" applyFill="1" applyBorder="1" applyAlignment="1">
      <alignment horizontal="left"/>
    </xf>
    <xf numFmtId="0" fontId="0" fillId="8" borderId="0" xfId="1" applyFont="1" applyFill="1" applyBorder="1"/>
    <xf numFmtId="0" fontId="1" fillId="8" borderId="0" xfId="1" applyFont="1" applyFill="1" applyBorder="1"/>
    <xf numFmtId="2" fontId="3" fillId="0" borderId="0" xfId="1" applyNumberFormat="1"/>
    <xf numFmtId="2" fontId="2" fillId="0" borderId="0" xfId="1" applyNumberFormat="1" applyFont="1"/>
    <xf numFmtId="0" fontId="11" fillId="8" borderId="9" xfId="0" applyFont="1" applyFill="1" applyBorder="1" applyAlignment="1">
      <alignment shrinkToFit="1"/>
    </xf>
    <xf numFmtId="0" fontId="14" fillId="8" borderId="0" xfId="1" applyFont="1" applyFill="1" applyBorder="1"/>
    <xf numFmtId="0" fontId="14" fillId="8" borderId="0" xfId="1" applyFont="1" applyFill="1" applyBorder="1" applyAlignment="1">
      <alignment horizontal="left"/>
    </xf>
    <xf numFmtId="4" fontId="11" fillId="8" borderId="10" xfId="0" applyNumberFormat="1" applyFont="1" applyFill="1" applyBorder="1"/>
    <xf numFmtId="4" fontId="3" fillId="8" borderId="10" xfId="1" applyNumberFormat="1" applyFill="1" applyBorder="1"/>
    <xf numFmtId="0" fontId="3" fillId="8" borderId="16" xfId="1" applyFill="1" applyBorder="1" applyAlignment="1">
      <alignment horizontal="left"/>
    </xf>
    <xf numFmtId="0" fontId="3" fillId="8" borderId="9" xfId="1" applyFill="1" applyBorder="1"/>
    <xf numFmtId="0" fontId="3" fillId="8" borderId="5" xfId="1" applyFill="1" applyBorder="1"/>
    <xf numFmtId="0" fontId="3" fillId="8" borderId="5" xfId="1" applyFill="1" applyBorder="1" applyAlignment="1">
      <alignment wrapText="1"/>
    </xf>
    <xf numFmtId="4" fontId="3" fillId="8" borderId="5" xfId="1" applyNumberFormat="1" applyFill="1" applyBorder="1"/>
    <xf numFmtId="1" fontId="3" fillId="8" borderId="5" xfId="1" applyNumberFormat="1" applyFill="1" applyBorder="1" applyAlignment="1">
      <alignment horizontal="center"/>
    </xf>
    <xf numFmtId="0" fontId="12" fillId="8" borderId="0" xfId="1" applyFont="1" applyFill="1" applyBorder="1"/>
    <xf numFmtId="4" fontId="12" fillId="8" borderId="0" xfId="1" applyNumberFormat="1" applyFont="1" applyFill="1" applyBorder="1"/>
    <xf numFmtId="4" fontId="12" fillId="8" borderId="17" xfId="1" applyNumberFormat="1" applyFont="1" applyFill="1" applyBorder="1"/>
    <xf numFmtId="0" fontId="3" fillId="8" borderId="0" xfId="1" applyFill="1"/>
    <xf numFmtId="4" fontId="3" fillId="4" borderId="17" xfId="1" applyNumberFormat="1" applyFill="1" applyBorder="1"/>
    <xf numFmtId="0" fontId="3" fillId="8" borderId="0" xfId="1" applyFill="1" applyBorder="1" applyAlignment="1">
      <alignment horizontal="left"/>
    </xf>
    <xf numFmtId="4" fontId="3" fillId="8" borderId="0" xfId="1" applyNumberFormat="1" applyFill="1" applyBorder="1"/>
    <xf numFmtId="0" fontId="18" fillId="8" borderId="0" xfId="1" applyFont="1" applyFill="1" applyBorder="1"/>
    <xf numFmtId="0" fontId="19" fillId="8" borderId="16" xfId="1" applyFont="1" applyFill="1" applyBorder="1"/>
    <xf numFmtId="4" fontId="12" fillId="2" borderId="0" xfId="1" applyNumberFormat="1" applyFont="1" applyFill="1" applyBorder="1"/>
    <xf numFmtId="0" fontId="3" fillId="8" borderId="3" xfId="1" applyFont="1" applyFill="1" applyBorder="1" applyAlignment="1">
      <alignment shrinkToFit="1"/>
    </xf>
    <xf numFmtId="0" fontId="20" fillId="8" borderId="16" xfId="1" applyFont="1" applyFill="1" applyBorder="1" applyAlignment="1">
      <alignment horizontal="left"/>
    </xf>
    <xf numFmtId="4" fontId="21" fillId="4" borderId="17" xfId="1" applyNumberFormat="1" applyFont="1" applyFill="1" applyBorder="1"/>
    <xf numFmtId="0" fontId="21" fillId="8" borderId="0" xfId="1" applyFont="1" applyFill="1" applyBorder="1" applyAlignment="1">
      <alignment shrinkToFit="1"/>
    </xf>
    <xf numFmtId="0" fontId="22" fillId="8" borderId="16" xfId="1" applyFont="1" applyFill="1" applyBorder="1" applyAlignment="1">
      <alignment horizontal="left"/>
    </xf>
    <xf numFmtId="0" fontId="6" fillId="8" borderId="0" xfId="1" applyFont="1" applyFill="1" applyBorder="1" applyAlignment="1">
      <alignment shrinkToFit="1"/>
    </xf>
    <xf numFmtId="4" fontId="23" fillId="4" borderId="17" xfId="1" applyNumberFormat="1" applyFont="1" applyFill="1" applyBorder="1"/>
    <xf numFmtId="4" fontId="23" fillId="8" borderId="17" xfId="1" applyNumberFormat="1" applyFont="1" applyFill="1" applyBorder="1"/>
    <xf numFmtId="0" fontId="3" fillId="8" borderId="0" xfId="1" applyFont="1" applyFill="1" applyBorder="1" applyAlignment="1">
      <alignment horizontal="left" wrapText="1"/>
    </xf>
    <xf numFmtId="4" fontId="0" fillId="0" borderId="0" xfId="0" applyNumberFormat="1"/>
    <xf numFmtId="0" fontId="3" fillId="8" borderId="17" xfId="1" applyFill="1" applyBorder="1" applyAlignment="1">
      <alignment horizontal="right"/>
    </xf>
    <xf numFmtId="4" fontId="23" fillId="0" borderId="17" xfId="1" applyNumberFormat="1" applyFont="1" applyBorder="1" applyAlignment="1">
      <alignment wrapText="1"/>
    </xf>
    <xf numFmtId="0" fontId="3" fillId="8" borderId="0" xfId="1" applyFont="1" applyFill="1" applyBorder="1" applyAlignment="1">
      <alignment shrinkToFit="1"/>
    </xf>
    <xf numFmtId="0" fontId="16" fillId="9" borderId="9" xfId="1" applyFont="1" applyFill="1" applyBorder="1"/>
    <xf numFmtId="0" fontId="16" fillId="9" borderId="0" xfId="1" applyFont="1" applyFill="1" applyBorder="1"/>
    <xf numFmtId="4" fontId="16" fillId="9" borderId="10" xfId="1" applyNumberFormat="1" applyFont="1" applyFill="1" applyBorder="1"/>
    <xf numFmtId="0" fontId="16" fillId="8" borderId="5" xfId="1" applyFont="1" applyFill="1" applyBorder="1"/>
    <xf numFmtId="0" fontId="3" fillId="9" borderId="5" xfId="1" applyFill="1" applyBorder="1"/>
    <xf numFmtId="4" fontId="3" fillId="9" borderId="5" xfId="1" applyNumberFormat="1" applyFill="1" applyBorder="1"/>
    <xf numFmtId="1" fontId="3" fillId="9" borderId="5" xfId="1" applyNumberFormat="1" applyFill="1" applyBorder="1" applyAlignment="1">
      <alignment horizontal="center"/>
    </xf>
    <xf numFmtId="4" fontId="9" fillId="8" borderId="0" xfId="0" applyNumberFormat="1" applyFont="1" applyFill="1" applyBorder="1"/>
    <xf numFmtId="0" fontId="12" fillId="8" borderId="0" xfId="1" applyFont="1" applyFill="1" applyBorder="1" applyAlignment="1">
      <alignment horizontal="left"/>
    </xf>
  </cellXfs>
  <cellStyles count="5">
    <cellStyle name="Čárka 2" xfId="2"/>
    <cellStyle name="Normální" xfId="0" builtinId="0"/>
    <cellStyle name="Normální 2" xfId="3"/>
    <cellStyle name="Normální 3" xfId="1"/>
    <cellStyle name="Normální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17%20rozpo&#269;et\2017_rozpo&#269;et_ZM&#268;\Rozpis%20rozpo&#269;tu%20na%20%202017_%20k%20p&#345;edlo&#382;en&#237;%20do%20ZM&#268;%20dne%2027_2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ožky"/>
      <sheetName val="Souhrnné závazné ukazatalé"/>
      <sheetName val="dotační vztahy"/>
      <sheetName val="Závazné ukazatele BV"/>
      <sheetName val="příjmy 2017"/>
      <sheetName val="výdaje celkové 2017 nové"/>
      <sheetName val="Plán počtu pracovníků 2017"/>
      <sheetName val="Mzdy a sociální fond"/>
      <sheetName val="mzdy_výpočet"/>
      <sheetName val="MA21"/>
      <sheetName val="odbor KUMČ - 11"/>
      <sheetName val="odbor EO - 12 (bez mezd)"/>
      <sheetName val="odbor OŽOSA - 14"/>
      <sheetName val="odbor Stavební"/>
      <sheetName val="odbor HSI - 20"/>
      <sheetName val="sociální  - 30"/>
      <sheetName val="školství 40"/>
      <sheetName val="PO_final"/>
      <sheetName val="Odbor MH - 60"/>
      <sheetName val="Odbor ŽPD - 50"/>
      <sheetName val="Odbor Informatika - 70"/>
      <sheetName val="Pokladní správa"/>
      <sheetName val="Závazné ukazatele_inv.výdajů"/>
      <sheetName val="Rozpočtový výhled "/>
      <sheetName val="Zdaň.činnost"/>
    </sheetNames>
    <sheetDataSet>
      <sheetData sheetId="0"/>
      <sheetData sheetId="1"/>
      <sheetData sheetId="2"/>
      <sheetData sheetId="3"/>
      <sheetData sheetId="4"/>
      <sheetData sheetId="5">
        <row r="66">
          <cell r="H66">
            <v>124829600</v>
          </cell>
        </row>
      </sheetData>
      <sheetData sheetId="6"/>
      <sheetData sheetId="7"/>
      <sheetData sheetId="8"/>
      <sheetData sheetId="9">
        <row r="18">
          <cell r="K18">
            <v>1106100</v>
          </cell>
        </row>
      </sheetData>
      <sheetData sheetId="10">
        <row r="53">
          <cell r="K53">
            <v>2028800</v>
          </cell>
        </row>
      </sheetData>
      <sheetData sheetId="11"/>
      <sheetData sheetId="12">
        <row r="21">
          <cell r="K21">
            <v>200000</v>
          </cell>
        </row>
        <row r="31">
          <cell r="K31">
            <v>558000</v>
          </cell>
        </row>
      </sheetData>
      <sheetData sheetId="13">
        <row r="20">
          <cell r="K20">
            <v>599500</v>
          </cell>
        </row>
      </sheetData>
      <sheetData sheetId="14">
        <row r="95">
          <cell r="K95">
            <v>8372000</v>
          </cell>
        </row>
        <row r="96">
          <cell r="K96">
            <v>369200</v>
          </cell>
        </row>
      </sheetData>
      <sheetData sheetId="15">
        <row r="61">
          <cell r="K61">
            <v>2173800</v>
          </cell>
        </row>
        <row r="62">
          <cell r="K62">
            <v>492900</v>
          </cell>
        </row>
      </sheetData>
      <sheetData sheetId="16">
        <row r="57">
          <cell r="K57">
            <v>12000</v>
          </cell>
        </row>
        <row r="58">
          <cell r="K58">
            <v>18000</v>
          </cell>
        </row>
        <row r="59">
          <cell r="K59">
            <v>40000</v>
          </cell>
        </row>
        <row r="62">
          <cell r="K62">
            <v>111700</v>
          </cell>
        </row>
        <row r="63">
          <cell r="K63">
            <v>166900</v>
          </cell>
        </row>
        <row r="64">
          <cell r="K64">
            <v>150200</v>
          </cell>
        </row>
        <row r="78">
          <cell r="K78">
            <v>8000</v>
          </cell>
        </row>
        <row r="92">
          <cell r="K92">
            <v>150000</v>
          </cell>
        </row>
        <row r="93">
          <cell r="K93">
            <v>1129700</v>
          </cell>
        </row>
        <row r="101">
          <cell r="K101">
            <v>3000</v>
          </cell>
        </row>
      </sheetData>
      <sheetData sheetId="17"/>
      <sheetData sheetId="18">
        <row r="104">
          <cell r="K104">
            <v>8676500</v>
          </cell>
        </row>
      </sheetData>
      <sheetData sheetId="19">
        <row r="37">
          <cell r="K37">
            <v>685000</v>
          </cell>
        </row>
        <row r="38">
          <cell r="K38">
            <v>410000</v>
          </cell>
        </row>
      </sheetData>
      <sheetData sheetId="20">
        <row r="26">
          <cell r="K26">
            <v>4109700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tabSelected="1" topLeftCell="A64" workbookViewId="0">
      <selection activeCell="I89" sqref="I89"/>
    </sheetView>
  </sheetViews>
  <sheetFormatPr defaultColWidth="8.88671875" defaultRowHeight="14.4" x14ac:dyDescent="0.3"/>
  <cols>
    <col min="1" max="1" width="79.88671875" style="1" bestFit="1" customWidth="1"/>
    <col min="2" max="2" width="10.6640625" style="1" bestFit="1" customWidth="1"/>
    <col min="3" max="3" width="12.88671875" style="1" customWidth="1"/>
    <col min="4" max="4" width="12.6640625" style="1" bestFit="1" customWidth="1"/>
    <col min="5" max="5" width="8" style="1" bestFit="1" customWidth="1"/>
    <col min="6" max="6" width="19.109375" style="1" bestFit="1" customWidth="1"/>
    <col min="7" max="7" width="15" style="8" bestFit="1" customWidth="1"/>
    <col min="8" max="8" width="15" style="1" bestFit="1" customWidth="1"/>
    <col min="9" max="10" width="13.5546875" style="1" bestFit="1" customWidth="1"/>
    <col min="11" max="12" width="10.5546875" style="1" bestFit="1" customWidth="1"/>
    <col min="13" max="13" width="8.88671875" style="1"/>
    <col min="14" max="14" width="10.5546875" style="1" bestFit="1" customWidth="1"/>
    <col min="15" max="16384" width="8.88671875" style="1"/>
  </cols>
  <sheetData>
    <row r="1" spans="1:8" x14ac:dyDescent="0.3">
      <c r="A1" s="18" t="s">
        <v>0</v>
      </c>
      <c r="B1" s="18"/>
      <c r="C1" s="18"/>
    </row>
    <row r="2" spans="1:8" x14ac:dyDescent="0.3">
      <c r="A2" s="2"/>
      <c r="B2" s="2"/>
      <c r="C2" s="2"/>
    </row>
    <row r="3" spans="1:8" ht="15" thickBot="1" x14ac:dyDescent="0.35">
      <c r="A3" s="17" t="s">
        <v>1</v>
      </c>
      <c r="B3" s="17"/>
      <c r="C3" s="17"/>
      <c r="F3" s="3" t="s">
        <v>2</v>
      </c>
    </row>
    <row r="4" spans="1:8" ht="28.8" x14ac:dyDescent="0.3">
      <c r="A4" s="4" t="s">
        <v>3</v>
      </c>
      <c r="B4" s="76" t="s">
        <v>4</v>
      </c>
      <c r="C4" s="76" t="s">
        <v>5</v>
      </c>
      <c r="D4" s="76" t="s">
        <v>6</v>
      </c>
      <c r="E4" s="5" t="s">
        <v>7</v>
      </c>
      <c r="F4" s="5" t="s">
        <v>8</v>
      </c>
      <c r="G4" s="107" t="s">
        <v>9</v>
      </c>
      <c r="H4" s="43"/>
    </row>
    <row r="5" spans="1:8" ht="30.75" customHeight="1" x14ac:dyDescent="0.3">
      <c r="A5" s="6" t="s">
        <v>10</v>
      </c>
      <c r="B5" s="7"/>
      <c r="C5" s="77" t="s">
        <v>11</v>
      </c>
      <c r="D5" s="7" t="s">
        <v>12</v>
      </c>
      <c r="E5" s="7"/>
      <c r="F5" s="100">
        <v>64074100</v>
      </c>
      <c r="G5" s="105">
        <f>-87700-86600-12400+1200+32600-36000</f>
        <v>-188900</v>
      </c>
      <c r="H5" s="164" t="s">
        <v>387</v>
      </c>
    </row>
    <row r="6" spans="1:8" ht="15" customHeight="1" x14ac:dyDescent="0.3">
      <c r="A6" s="127" t="s">
        <v>345</v>
      </c>
      <c r="B6" s="113"/>
      <c r="C6" s="161">
        <v>5347</v>
      </c>
      <c r="D6" s="113" t="s">
        <v>346</v>
      </c>
      <c r="E6" s="113"/>
      <c r="F6" s="114"/>
      <c r="G6" s="115">
        <f>12400</f>
        <v>12400</v>
      </c>
      <c r="H6" s="160" t="s">
        <v>347</v>
      </c>
    </row>
    <row r="7" spans="1:8" ht="15" customHeight="1" x14ac:dyDescent="0.3">
      <c r="A7" s="127" t="s">
        <v>400</v>
      </c>
      <c r="B7" s="113"/>
      <c r="C7" s="161">
        <v>5622</v>
      </c>
      <c r="D7" s="113" t="s">
        <v>346</v>
      </c>
      <c r="E7" s="113"/>
      <c r="F7" s="114"/>
      <c r="G7" s="115">
        <v>100000</v>
      </c>
      <c r="H7" s="160"/>
    </row>
    <row r="8" spans="1:8" x14ac:dyDescent="0.3">
      <c r="A8" s="71" t="s">
        <v>13</v>
      </c>
      <c r="B8" s="72"/>
      <c r="C8" s="73">
        <v>5349</v>
      </c>
      <c r="D8" s="75" t="s">
        <v>12</v>
      </c>
      <c r="E8" s="74"/>
      <c r="F8" s="101">
        <v>3083000</v>
      </c>
      <c r="G8" s="105"/>
      <c r="H8" s="111"/>
    </row>
    <row r="9" spans="1:8" x14ac:dyDescent="0.3">
      <c r="A9" s="10" t="s">
        <v>14</v>
      </c>
      <c r="B9" s="10"/>
      <c r="C9" s="7" t="s">
        <v>15</v>
      </c>
      <c r="D9" s="10" t="s">
        <v>16</v>
      </c>
      <c r="E9" s="10"/>
      <c r="F9" s="102">
        <f>'[1]odbor HSI - 20'!K95</f>
        <v>8372000</v>
      </c>
      <c r="G9" s="105">
        <f>-300000+110400</f>
        <v>-189600</v>
      </c>
      <c r="H9" s="111" t="s">
        <v>355</v>
      </c>
    </row>
    <row r="10" spans="1:8" x14ac:dyDescent="0.3">
      <c r="A10" s="11" t="s">
        <v>17</v>
      </c>
      <c r="B10" s="12"/>
      <c r="C10" s="7" t="s">
        <v>15</v>
      </c>
      <c r="D10" s="12" t="s">
        <v>18</v>
      </c>
      <c r="E10" s="12"/>
      <c r="F10" s="102">
        <f>'[1]odbor HSI - 20'!K96</f>
        <v>369200</v>
      </c>
      <c r="G10" s="105"/>
      <c r="H10" s="105"/>
    </row>
    <row r="11" spans="1:8" x14ac:dyDescent="0.3">
      <c r="A11" s="113" t="s">
        <v>316</v>
      </c>
      <c r="B11" s="113"/>
      <c r="C11" s="113" t="s">
        <v>15</v>
      </c>
      <c r="D11" s="113" t="s">
        <v>21</v>
      </c>
      <c r="E11" s="113">
        <v>17207</v>
      </c>
      <c r="F11" s="114"/>
      <c r="G11" s="115">
        <v>419200</v>
      </c>
      <c r="H11" s="115"/>
    </row>
    <row r="12" spans="1:8" x14ac:dyDescent="0.3">
      <c r="A12" s="113" t="s">
        <v>317</v>
      </c>
      <c r="B12" s="113"/>
      <c r="C12" s="113" t="s">
        <v>15</v>
      </c>
      <c r="D12" s="113" t="s">
        <v>318</v>
      </c>
      <c r="E12" s="113"/>
      <c r="F12" s="114"/>
      <c r="G12" s="115">
        <v>300000</v>
      </c>
      <c r="H12" s="115"/>
    </row>
    <row r="13" spans="1:8" x14ac:dyDescent="0.3">
      <c r="A13" s="132" t="s">
        <v>19</v>
      </c>
      <c r="B13" s="113"/>
      <c r="C13" s="113" t="s">
        <v>15</v>
      </c>
      <c r="D13" s="113" t="s">
        <v>18</v>
      </c>
      <c r="E13" s="113"/>
      <c r="F13" s="114"/>
      <c r="G13" s="115">
        <v>21800</v>
      </c>
      <c r="H13" s="115"/>
    </row>
    <row r="14" spans="1:8" x14ac:dyDescent="0.3">
      <c r="A14" s="132" t="s">
        <v>19</v>
      </c>
      <c r="B14" s="113"/>
      <c r="C14" s="113" t="s">
        <v>20</v>
      </c>
      <c r="D14" s="113" t="s">
        <v>21</v>
      </c>
      <c r="E14" s="113"/>
      <c r="F14" s="114"/>
      <c r="G14" s="115">
        <v>27200</v>
      </c>
      <c r="H14" s="115"/>
    </row>
    <row r="15" spans="1:8" x14ac:dyDescent="0.3">
      <c r="A15" s="112" t="s">
        <v>22</v>
      </c>
      <c r="B15" s="113"/>
      <c r="C15" s="113" t="s">
        <v>15</v>
      </c>
      <c r="D15" s="113" t="s">
        <v>23</v>
      </c>
      <c r="E15" s="113">
        <v>3002</v>
      </c>
      <c r="F15" s="114"/>
      <c r="G15" s="115">
        <v>4900000</v>
      </c>
      <c r="H15" s="115"/>
    </row>
    <row r="16" spans="1:8" x14ac:dyDescent="0.3">
      <c r="A16" s="112" t="s">
        <v>24</v>
      </c>
      <c r="B16" s="113"/>
      <c r="C16" s="113" t="s">
        <v>15</v>
      </c>
      <c r="D16" s="113" t="s">
        <v>25</v>
      </c>
      <c r="E16" s="113">
        <v>2006</v>
      </c>
      <c r="F16" s="114"/>
      <c r="G16" s="115">
        <v>27100</v>
      </c>
      <c r="H16" s="115"/>
    </row>
    <row r="17" spans="1:8" x14ac:dyDescent="0.3">
      <c r="A17" s="127" t="s">
        <v>26</v>
      </c>
      <c r="B17" s="113"/>
      <c r="C17" s="113" t="s">
        <v>15</v>
      </c>
      <c r="D17" s="113" t="s">
        <v>25</v>
      </c>
      <c r="E17" s="113">
        <v>2015</v>
      </c>
      <c r="F17" s="114"/>
      <c r="G17" s="115">
        <v>39800</v>
      </c>
      <c r="H17" s="115"/>
    </row>
    <row r="18" spans="1:8" x14ac:dyDescent="0.3">
      <c r="A18" s="127" t="s">
        <v>255</v>
      </c>
      <c r="B18" s="113"/>
      <c r="C18" s="113" t="s">
        <v>15</v>
      </c>
      <c r="D18" s="113" t="s">
        <v>25</v>
      </c>
      <c r="E18" s="113">
        <v>2030</v>
      </c>
      <c r="F18" s="114"/>
      <c r="G18" s="115">
        <v>37700</v>
      </c>
      <c r="H18" s="115"/>
    </row>
    <row r="19" spans="1:8" x14ac:dyDescent="0.3">
      <c r="A19" s="127" t="s">
        <v>291</v>
      </c>
      <c r="B19" s="113"/>
      <c r="C19" s="113" t="s">
        <v>15</v>
      </c>
      <c r="D19" s="113" t="s">
        <v>290</v>
      </c>
      <c r="E19" s="113">
        <v>2300206</v>
      </c>
      <c r="F19" s="114"/>
      <c r="G19" s="115">
        <v>186100</v>
      </c>
      <c r="H19" s="115"/>
    </row>
    <row r="20" spans="1:8" x14ac:dyDescent="0.3">
      <c r="A20" s="127" t="s">
        <v>301</v>
      </c>
      <c r="B20" s="113"/>
      <c r="C20" s="113" t="s">
        <v>15</v>
      </c>
      <c r="D20" s="113" t="s">
        <v>25</v>
      </c>
      <c r="E20" s="113">
        <v>2048</v>
      </c>
      <c r="F20" s="114"/>
      <c r="G20" s="115">
        <v>35300</v>
      </c>
      <c r="H20" s="115"/>
    </row>
    <row r="21" spans="1:8" x14ac:dyDescent="0.3">
      <c r="A21" s="127" t="s">
        <v>360</v>
      </c>
      <c r="B21" s="113"/>
      <c r="C21" s="113" t="s">
        <v>15</v>
      </c>
      <c r="D21" s="113" t="s">
        <v>25</v>
      </c>
      <c r="E21" s="113">
        <v>2066</v>
      </c>
      <c r="F21" s="114"/>
      <c r="G21" s="115">
        <v>4700</v>
      </c>
      <c r="H21" s="115"/>
    </row>
    <row r="22" spans="1:8" x14ac:dyDescent="0.3">
      <c r="A22" s="127" t="s">
        <v>393</v>
      </c>
      <c r="B22" s="113"/>
      <c r="C22" s="113" t="s">
        <v>15</v>
      </c>
      <c r="D22" s="113" t="s">
        <v>25</v>
      </c>
      <c r="E22" s="113">
        <v>2091</v>
      </c>
      <c r="F22" s="114"/>
      <c r="G22" s="115">
        <v>22100</v>
      </c>
      <c r="H22" s="115"/>
    </row>
    <row r="23" spans="1:8" x14ac:dyDescent="0.3">
      <c r="A23" s="13" t="s">
        <v>27</v>
      </c>
      <c r="B23" s="15"/>
      <c r="C23" s="7" t="s">
        <v>15</v>
      </c>
      <c r="D23" s="14" t="s">
        <v>28</v>
      </c>
      <c r="E23" s="14"/>
      <c r="F23" s="103">
        <f>[1]MA21!K18</f>
        <v>1106100</v>
      </c>
      <c r="G23" s="105"/>
      <c r="H23" s="105" t="s">
        <v>351</v>
      </c>
    </row>
    <row r="24" spans="1:8" x14ac:dyDescent="0.3">
      <c r="A24" s="127" t="s">
        <v>313</v>
      </c>
      <c r="B24" s="113"/>
      <c r="C24" s="113" t="s">
        <v>15</v>
      </c>
      <c r="D24" s="113" t="s">
        <v>23</v>
      </c>
      <c r="E24" s="113">
        <v>3029</v>
      </c>
      <c r="F24" s="114"/>
      <c r="G24" s="115">
        <v>123000</v>
      </c>
      <c r="H24" s="115"/>
    </row>
    <row r="25" spans="1:8" x14ac:dyDescent="0.3">
      <c r="A25" s="132" t="s">
        <v>19</v>
      </c>
      <c r="B25" s="113"/>
      <c r="C25" s="113" t="s">
        <v>15</v>
      </c>
      <c r="D25" s="128"/>
      <c r="E25" s="129">
        <v>13</v>
      </c>
      <c r="F25" s="114"/>
      <c r="G25" s="115">
        <v>200500</v>
      </c>
      <c r="H25" s="115"/>
    </row>
    <row r="26" spans="1:8" x14ac:dyDescent="0.3">
      <c r="A26" s="14" t="s">
        <v>29</v>
      </c>
      <c r="B26" s="14"/>
      <c r="C26" s="7" t="s">
        <v>15</v>
      </c>
      <c r="D26" s="14" t="s">
        <v>30</v>
      </c>
      <c r="E26" s="14"/>
      <c r="F26" s="103">
        <f>'[1]odbor KUMČ - 11'!K53</f>
        <v>2028800</v>
      </c>
      <c r="G26" s="105">
        <f>196500-109500-10000-60000-380300-25000-52000-100000</f>
        <v>-540300</v>
      </c>
      <c r="H26" s="159" t="s">
        <v>370</v>
      </c>
    </row>
    <row r="27" spans="1:8" x14ac:dyDescent="0.3">
      <c r="A27" s="128" t="s">
        <v>32</v>
      </c>
      <c r="B27" s="129"/>
      <c r="C27" s="127">
        <v>5901</v>
      </c>
      <c r="D27" s="128" t="s">
        <v>33</v>
      </c>
      <c r="E27" s="129"/>
      <c r="F27" s="114"/>
      <c r="G27" s="115">
        <v>-212100</v>
      </c>
      <c r="H27" s="115"/>
    </row>
    <row r="28" spans="1:8" x14ac:dyDescent="0.3">
      <c r="A28" s="153" t="s">
        <v>261</v>
      </c>
      <c r="B28" s="129"/>
      <c r="C28" s="127">
        <v>5901</v>
      </c>
      <c r="D28" s="128" t="s">
        <v>265</v>
      </c>
      <c r="E28" s="129"/>
      <c r="F28" s="114"/>
      <c r="G28" s="115">
        <f>-26700-50000</f>
        <v>-76700</v>
      </c>
      <c r="H28" s="115" t="s">
        <v>263</v>
      </c>
    </row>
    <row r="29" spans="1:8" x14ac:dyDescent="0.3">
      <c r="A29" s="153" t="s">
        <v>274</v>
      </c>
      <c r="B29" s="129"/>
      <c r="C29" s="127">
        <v>5901</v>
      </c>
      <c r="D29" s="128" t="s">
        <v>265</v>
      </c>
      <c r="E29" s="129"/>
      <c r="F29" s="114"/>
      <c r="G29" s="115">
        <f>-36000-24000-5000</f>
        <v>-65000</v>
      </c>
      <c r="H29" s="115"/>
    </row>
    <row r="30" spans="1:8" x14ac:dyDescent="0.3">
      <c r="A30" s="153" t="s">
        <v>276</v>
      </c>
      <c r="B30" s="129"/>
      <c r="C30" s="127">
        <v>5167</v>
      </c>
      <c r="D30" s="128" t="s">
        <v>277</v>
      </c>
      <c r="E30" s="129">
        <v>3022</v>
      </c>
      <c r="F30" s="114"/>
      <c r="G30" s="115">
        <v>110000</v>
      </c>
      <c r="H30" s="115"/>
    </row>
    <row r="31" spans="1:8" x14ac:dyDescent="0.3">
      <c r="A31" s="127" t="s">
        <v>335</v>
      </c>
      <c r="B31" s="129"/>
      <c r="C31" s="127">
        <v>5901</v>
      </c>
      <c r="D31" s="128" t="s">
        <v>336</v>
      </c>
      <c r="E31" s="129"/>
      <c r="F31" s="114"/>
      <c r="G31" s="115">
        <f>500000-32600</f>
        <v>467400</v>
      </c>
      <c r="H31" s="115" t="s">
        <v>354</v>
      </c>
    </row>
    <row r="32" spans="1:8" x14ac:dyDescent="0.3">
      <c r="A32" s="127" t="s">
        <v>368</v>
      </c>
      <c r="B32" s="129"/>
      <c r="C32" s="127" t="s">
        <v>15</v>
      </c>
      <c r="D32" s="128" t="s">
        <v>265</v>
      </c>
      <c r="E32" s="129"/>
      <c r="F32" s="114"/>
      <c r="G32" s="115">
        <v>22000</v>
      </c>
      <c r="H32" s="115"/>
    </row>
    <row r="33" spans="1:8" x14ac:dyDescent="0.3">
      <c r="A33" s="13" t="s">
        <v>34</v>
      </c>
      <c r="B33" s="15"/>
      <c r="C33" s="7" t="s">
        <v>15</v>
      </c>
      <c r="D33" s="15" t="s">
        <v>35</v>
      </c>
      <c r="E33" s="15"/>
      <c r="F33" s="103">
        <f>'[1]odbor Stavební'!K20</f>
        <v>599500</v>
      </c>
      <c r="G33" s="105"/>
      <c r="H33" s="111"/>
    </row>
    <row r="34" spans="1:8" x14ac:dyDescent="0.3">
      <c r="A34" s="10" t="s">
        <v>36</v>
      </c>
      <c r="B34" s="10"/>
      <c r="C34" s="7" t="s">
        <v>15</v>
      </c>
      <c r="D34" s="60" t="s">
        <v>37</v>
      </c>
      <c r="E34" s="10">
        <v>777</v>
      </c>
      <c r="F34" s="102">
        <f>'[1]odbor OŽOSA - 14'!K21</f>
        <v>200000</v>
      </c>
      <c r="G34" s="105"/>
      <c r="H34" s="111"/>
    </row>
    <row r="35" spans="1:8" x14ac:dyDescent="0.3">
      <c r="A35" s="153" t="s">
        <v>261</v>
      </c>
      <c r="B35" s="129"/>
      <c r="C35" s="113" t="s">
        <v>15</v>
      </c>
      <c r="D35" s="128" t="s">
        <v>37</v>
      </c>
      <c r="E35" s="129">
        <v>777</v>
      </c>
      <c r="F35" s="114"/>
      <c r="G35" s="115">
        <v>50000</v>
      </c>
      <c r="H35" s="125" t="s">
        <v>263</v>
      </c>
    </row>
    <row r="36" spans="1:8" x14ac:dyDescent="0.3">
      <c r="A36" s="11" t="s">
        <v>38</v>
      </c>
      <c r="B36" s="12"/>
      <c r="C36" s="7" t="s">
        <v>15</v>
      </c>
      <c r="D36" s="10" t="s">
        <v>37</v>
      </c>
      <c r="E36" s="10"/>
      <c r="F36" s="102">
        <f>'[1]odbor OŽOSA - 14'!K31</f>
        <v>558000</v>
      </c>
      <c r="G36" s="105"/>
      <c r="H36" s="105"/>
    </row>
    <row r="37" spans="1:8" x14ac:dyDescent="0.3">
      <c r="A37" s="132" t="s">
        <v>305</v>
      </c>
      <c r="B37" s="113"/>
      <c r="C37" s="113" t="s">
        <v>15</v>
      </c>
      <c r="D37" s="128" t="s">
        <v>306</v>
      </c>
      <c r="E37" s="129"/>
      <c r="F37" s="114"/>
      <c r="G37" s="115">
        <v>60000</v>
      </c>
      <c r="H37" s="115"/>
    </row>
    <row r="38" spans="1:8" x14ac:dyDescent="0.3">
      <c r="A38" s="132" t="s">
        <v>19</v>
      </c>
      <c r="B38" s="113"/>
      <c r="C38" s="113" t="s">
        <v>15</v>
      </c>
      <c r="D38" s="128" t="s">
        <v>37</v>
      </c>
      <c r="E38" s="129"/>
      <c r="F38" s="114"/>
      <c r="G38" s="115">
        <v>20000</v>
      </c>
      <c r="H38" s="115"/>
    </row>
    <row r="39" spans="1:8" x14ac:dyDescent="0.3">
      <c r="A39" s="6" t="s">
        <v>39</v>
      </c>
      <c r="B39" s="7"/>
      <c r="C39" s="7" t="s">
        <v>15</v>
      </c>
      <c r="D39" s="7" t="s">
        <v>40</v>
      </c>
      <c r="E39" s="7"/>
      <c r="F39" s="100">
        <f>'[1]sociální  - 30'!K61</f>
        <v>2173800</v>
      </c>
      <c r="G39" s="105">
        <f>-100000-40000</f>
        <v>-140000</v>
      </c>
      <c r="H39" s="111" t="s">
        <v>391</v>
      </c>
    </row>
    <row r="40" spans="1:8" x14ac:dyDescent="0.3">
      <c r="A40" s="128" t="s">
        <v>32</v>
      </c>
      <c r="B40" s="113"/>
      <c r="C40" s="113" t="s">
        <v>41</v>
      </c>
      <c r="D40" s="113" t="s">
        <v>42</v>
      </c>
      <c r="E40" s="113"/>
      <c r="F40" s="114"/>
      <c r="G40" s="115">
        <v>212100</v>
      </c>
      <c r="H40" s="125"/>
    </row>
    <row r="41" spans="1:8" x14ac:dyDescent="0.3">
      <c r="A41" s="112" t="s">
        <v>43</v>
      </c>
      <c r="B41" s="113"/>
      <c r="C41" s="113" t="s">
        <v>15</v>
      </c>
      <c r="D41" s="113" t="s">
        <v>44</v>
      </c>
      <c r="E41" s="113">
        <v>2005</v>
      </c>
      <c r="F41" s="114"/>
      <c r="G41" s="115">
        <v>480000</v>
      </c>
      <c r="H41" s="125"/>
    </row>
    <row r="42" spans="1:8" x14ac:dyDescent="0.3">
      <c r="A42" s="112" t="s">
        <v>45</v>
      </c>
      <c r="B42" s="113"/>
      <c r="C42" s="113" t="s">
        <v>15</v>
      </c>
      <c r="D42" s="113" t="s">
        <v>46</v>
      </c>
      <c r="E42" s="113">
        <v>3010</v>
      </c>
      <c r="F42" s="114"/>
      <c r="G42" s="115">
        <v>724000</v>
      </c>
      <c r="H42" s="125"/>
    </row>
    <row r="43" spans="1:8" x14ac:dyDescent="0.3">
      <c r="A43" s="112" t="s">
        <v>47</v>
      </c>
      <c r="B43" s="113"/>
      <c r="C43" s="113" t="s">
        <v>15</v>
      </c>
      <c r="D43" s="113" t="s">
        <v>23</v>
      </c>
      <c r="E43" s="113">
        <v>3009</v>
      </c>
      <c r="F43" s="114"/>
      <c r="G43" s="115">
        <v>125000</v>
      </c>
      <c r="H43" s="125"/>
    </row>
    <row r="44" spans="1:8" x14ac:dyDescent="0.3">
      <c r="A44" s="112" t="s">
        <v>243</v>
      </c>
      <c r="B44" s="113"/>
      <c r="C44" s="113" t="s">
        <v>15</v>
      </c>
      <c r="D44" s="113" t="s">
        <v>23</v>
      </c>
      <c r="E44" s="113">
        <v>3017</v>
      </c>
      <c r="F44" s="114"/>
      <c r="G44" s="115">
        <v>150000</v>
      </c>
      <c r="H44" s="125"/>
    </row>
    <row r="45" spans="1:8" x14ac:dyDescent="0.3">
      <c r="A45" s="112" t="s">
        <v>245</v>
      </c>
      <c r="B45" s="113"/>
      <c r="C45" s="113" t="s">
        <v>15</v>
      </c>
      <c r="D45" s="113" t="s">
        <v>246</v>
      </c>
      <c r="E45" s="113">
        <v>2028</v>
      </c>
      <c r="F45" s="114"/>
      <c r="G45" s="115">
        <v>904600</v>
      </c>
      <c r="H45" s="125"/>
    </row>
    <row r="46" spans="1:8" x14ac:dyDescent="0.3">
      <c r="A46" s="153" t="s">
        <v>261</v>
      </c>
      <c r="B46" s="113"/>
      <c r="C46" s="127">
        <v>5166</v>
      </c>
      <c r="D46" s="113" t="s">
        <v>262</v>
      </c>
      <c r="E46" s="113"/>
      <c r="F46" s="114"/>
      <c r="G46" s="115">
        <v>91500</v>
      </c>
      <c r="H46" s="125" t="s">
        <v>263</v>
      </c>
    </row>
    <row r="47" spans="1:8" x14ac:dyDescent="0.3">
      <c r="A47" s="153" t="s">
        <v>274</v>
      </c>
      <c r="B47" s="113"/>
      <c r="C47" s="127" t="s">
        <v>15</v>
      </c>
      <c r="D47" s="113" t="s">
        <v>275</v>
      </c>
      <c r="E47" s="113"/>
      <c r="F47" s="114"/>
      <c r="G47" s="115">
        <f>103800+5000</f>
        <v>108800</v>
      </c>
      <c r="H47" s="125"/>
    </row>
    <row r="48" spans="1:8" x14ac:dyDescent="0.3">
      <c r="A48" s="153" t="s">
        <v>279</v>
      </c>
      <c r="B48" s="113"/>
      <c r="C48" s="127">
        <v>5336</v>
      </c>
      <c r="D48" s="113" t="s">
        <v>280</v>
      </c>
      <c r="E48" s="113">
        <v>3028</v>
      </c>
      <c r="F48" s="114"/>
      <c r="G48" s="115">
        <v>811000</v>
      </c>
      <c r="H48" s="125"/>
    </row>
    <row r="49" spans="1:12" x14ac:dyDescent="0.3">
      <c r="A49" s="153" t="s">
        <v>283</v>
      </c>
      <c r="B49" s="113"/>
      <c r="C49" s="127">
        <v>5336</v>
      </c>
      <c r="D49" s="113" t="s">
        <v>286</v>
      </c>
      <c r="E49" s="113">
        <v>3027</v>
      </c>
      <c r="F49" s="114"/>
      <c r="G49" s="115">
        <v>1208800</v>
      </c>
      <c r="H49" s="125"/>
    </row>
    <row r="50" spans="1:12" x14ac:dyDescent="0.3">
      <c r="A50" s="153" t="s">
        <v>287</v>
      </c>
      <c r="B50" s="113"/>
      <c r="C50" s="127">
        <v>5336</v>
      </c>
      <c r="D50" s="113" t="s">
        <v>288</v>
      </c>
      <c r="E50" s="113">
        <v>3023</v>
      </c>
      <c r="F50" s="114"/>
      <c r="G50" s="115">
        <v>77900</v>
      </c>
      <c r="H50" s="125"/>
    </row>
    <row r="51" spans="1:12" x14ac:dyDescent="0.3">
      <c r="A51" s="153" t="s">
        <v>298</v>
      </c>
      <c r="B51" s="113"/>
      <c r="C51" s="127" t="s">
        <v>15</v>
      </c>
      <c r="D51" s="113" t="s">
        <v>299</v>
      </c>
      <c r="E51" s="113"/>
      <c r="F51" s="114"/>
      <c r="G51" s="115">
        <v>20000</v>
      </c>
      <c r="H51" s="125"/>
    </row>
    <row r="52" spans="1:12" x14ac:dyDescent="0.3">
      <c r="A52" s="153" t="s">
        <v>303</v>
      </c>
      <c r="B52" s="113"/>
      <c r="C52" s="127" t="s">
        <v>15</v>
      </c>
      <c r="D52" s="113" t="s">
        <v>304</v>
      </c>
      <c r="E52" s="113"/>
      <c r="F52" s="114"/>
      <c r="G52" s="115">
        <f>160000+110000+57000+109500+10000</f>
        <v>446500</v>
      </c>
      <c r="H52" s="125"/>
    </row>
    <row r="53" spans="1:12" x14ac:dyDescent="0.3">
      <c r="A53" s="153" t="s">
        <v>307</v>
      </c>
      <c r="B53" s="113"/>
      <c r="C53" s="127" t="s">
        <v>15</v>
      </c>
      <c r="D53" s="113" t="s">
        <v>308</v>
      </c>
      <c r="E53" s="113"/>
      <c r="F53" s="114"/>
      <c r="G53" s="115">
        <v>256600</v>
      </c>
      <c r="H53" s="125"/>
    </row>
    <row r="54" spans="1:12" x14ac:dyDescent="0.3">
      <c r="A54" s="153" t="s">
        <v>309</v>
      </c>
      <c r="B54" s="113"/>
      <c r="C54" s="127" t="s">
        <v>15</v>
      </c>
      <c r="D54" s="113" t="s">
        <v>310</v>
      </c>
      <c r="E54" s="113"/>
      <c r="F54" s="114"/>
      <c r="G54" s="115">
        <f>468000+25000</f>
        <v>493000</v>
      </c>
      <c r="H54" s="125"/>
    </row>
    <row r="55" spans="1:12" x14ac:dyDescent="0.3">
      <c r="A55" s="153" t="s">
        <v>320</v>
      </c>
      <c r="B55" s="113"/>
      <c r="C55" s="127" t="s">
        <v>15</v>
      </c>
      <c r="D55" s="113" t="s">
        <v>321</v>
      </c>
      <c r="E55" s="113"/>
      <c r="F55" s="114"/>
      <c r="G55" s="115">
        <f>300000+7700</f>
        <v>307700</v>
      </c>
      <c r="H55" s="125"/>
    </row>
    <row r="56" spans="1:12" x14ac:dyDescent="0.3">
      <c r="A56" s="153" t="s">
        <v>322</v>
      </c>
      <c r="B56" s="113"/>
      <c r="C56" s="127" t="s">
        <v>15</v>
      </c>
      <c r="D56" s="113" t="s">
        <v>323</v>
      </c>
      <c r="E56" s="113">
        <v>10347</v>
      </c>
      <c r="F56" s="114"/>
      <c r="G56" s="115">
        <v>300000</v>
      </c>
      <c r="H56" s="125"/>
    </row>
    <row r="57" spans="1:12" x14ac:dyDescent="0.3">
      <c r="A57" s="127" t="s">
        <v>339</v>
      </c>
      <c r="B57" s="113"/>
      <c r="C57" s="127" t="s">
        <v>15</v>
      </c>
      <c r="D57" s="113" t="s">
        <v>60</v>
      </c>
      <c r="E57" s="113">
        <v>3037</v>
      </c>
      <c r="F57" s="114"/>
      <c r="G57" s="115">
        <f>1067000-513500-112600-410500</f>
        <v>30400</v>
      </c>
      <c r="H57" s="163" t="s">
        <v>359</v>
      </c>
    </row>
    <row r="58" spans="1:12" x14ac:dyDescent="0.3">
      <c r="A58" s="127" t="s">
        <v>340</v>
      </c>
      <c r="B58" s="113"/>
      <c r="C58" s="127" t="s">
        <v>15</v>
      </c>
      <c r="D58" s="113" t="s">
        <v>341</v>
      </c>
      <c r="E58" s="113">
        <v>3045</v>
      </c>
      <c r="F58" s="114"/>
      <c r="G58" s="115">
        <v>170000</v>
      </c>
      <c r="H58" s="125"/>
    </row>
    <row r="59" spans="1:12" x14ac:dyDescent="0.3">
      <c r="A59" s="127" t="s">
        <v>342</v>
      </c>
      <c r="B59" s="113"/>
      <c r="C59" s="127" t="s">
        <v>15</v>
      </c>
      <c r="D59" s="113" t="s">
        <v>290</v>
      </c>
      <c r="E59" s="113">
        <v>2310182</v>
      </c>
      <c r="F59" s="114"/>
      <c r="G59" s="115">
        <v>161500</v>
      </c>
      <c r="H59" s="125"/>
    </row>
    <row r="60" spans="1:12" x14ac:dyDescent="0.3">
      <c r="A60" s="127" t="s">
        <v>348</v>
      </c>
      <c r="B60" s="113"/>
      <c r="C60" s="127" t="s">
        <v>15</v>
      </c>
      <c r="D60" s="113" t="s">
        <v>349</v>
      </c>
      <c r="E60" s="113">
        <v>2062</v>
      </c>
      <c r="F60" s="114"/>
      <c r="G60" s="115">
        <v>701500</v>
      </c>
      <c r="H60" s="125"/>
    </row>
    <row r="61" spans="1:12" x14ac:dyDescent="0.3">
      <c r="A61" s="127" t="s">
        <v>385</v>
      </c>
      <c r="B61" s="113"/>
      <c r="C61" s="127">
        <v>5347</v>
      </c>
      <c r="D61" s="113" t="s">
        <v>386</v>
      </c>
      <c r="E61" s="113">
        <v>2081</v>
      </c>
      <c r="F61" s="114"/>
      <c r="G61" s="115">
        <v>36000</v>
      </c>
      <c r="H61" s="125"/>
    </row>
    <row r="62" spans="1:12" x14ac:dyDescent="0.3">
      <c r="A62" s="127" t="s">
        <v>389</v>
      </c>
      <c r="B62" s="113"/>
      <c r="C62" s="127" t="s">
        <v>15</v>
      </c>
      <c r="D62" s="113" t="s">
        <v>246</v>
      </c>
      <c r="E62" s="113">
        <v>2077</v>
      </c>
      <c r="F62" s="114"/>
      <c r="G62" s="115">
        <v>1988700</v>
      </c>
      <c r="H62" s="125"/>
    </row>
    <row r="63" spans="1:12" x14ac:dyDescent="0.3">
      <c r="A63" s="127" t="s">
        <v>396</v>
      </c>
      <c r="B63" s="113"/>
      <c r="C63" s="127" t="s">
        <v>15</v>
      </c>
      <c r="D63" s="113" t="s">
        <v>392</v>
      </c>
      <c r="E63" s="113"/>
      <c r="F63" s="114"/>
      <c r="G63" s="115">
        <v>40000</v>
      </c>
      <c r="H63" s="125"/>
    </row>
    <row r="64" spans="1:12" x14ac:dyDescent="0.3">
      <c r="A64" s="6" t="s">
        <v>48</v>
      </c>
      <c r="B64" s="7"/>
      <c r="C64" s="7" t="s">
        <v>15</v>
      </c>
      <c r="D64" s="9" t="s">
        <v>49</v>
      </c>
      <c r="E64" s="9"/>
      <c r="F64" s="100">
        <f>'[1]sociální  - 30'!K62</f>
        <v>492900</v>
      </c>
      <c r="G64" s="147">
        <f>129500-10000-1800-30000-12000-20000-160000-110000-57000</f>
        <v>-271300</v>
      </c>
      <c r="H64" s="155" t="s">
        <v>352</v>
      </c>
      <c r="K64" s="130"/>
      <c r="L64" s="130"/>
    </row>
    <row r="65" spans="1:14" x14ac:dyDescent="0.3">
      <c r="A65" s="132" t="s">
        <v>19</v>
      </c>
      <c r="B65" s="113"/>
      <c r="C65" s="113" t="s">
        <v>15</v>
      </c>
      <c r="D65" s="128" t="s">
        <v>50</v>
      </c>
      <c r="E65" s="129"/>
      <c r="F65" s="114"/>
      <c r="G65" s="115">
        <v>100</v>
      </c>
      <c r="H65" s="115"/>
      <c r="I65" s="153" t="s">
        <v>284</v>
      </c>
      <c r="K65" s="130"/>
      <c r="L65" s="130"/>
    </row>
    <row r="66" spans="1:14" x14ac:dyDescent="0.3">
      <c r="A66" s="153" t="s">
        <v>261</v>
      </c>
      <c r="B66" s="113"/>
      <c r="C66" s="113" t="s">
        <v>15</v>
      </c>
      <c r="D66" s="128" t="s">
        <v>60</v>
      </c>
      <c r="E66" s="129"/>
      <c r="F66" s="114"/>
      <c r="G66" s="115">
        <v>10000</v>
      </c>
      <c r="H66" s="115" t="s">
        <v>263</v>
      </c>
      <c r="K66" s="130"/>
      <c r="L66" s="130"/>
    </row>
    <row r="67" spans="1:14" x14ac:dyDescent="0.3">
      <c r="A67" s="11" t="s">
        <v>51</v>
      </c>
      <c r="B67" s="12"/>
      <c r="C67" s="61">
        <v>5331</v>
      </c>
      <c r="D67" s="60" t="s">
        <v>52</v>
      </c>
      <c r="E67" s="10"/>
      <c r="F67" s="102">
        <v>42301000</v>
      </c>
      <c r="G67" s="105">
        <v>30000</v>
      </c>
      <c r="H67" s="111" t="s">
        <v>369</v>
      </c>
      <c r="K67" s="130"/>
      <c r="L67" s="130"/>
    </row>
    <row r="68" spans="1:14" x14ac:dyDescent="0.3">
      <c r="A68" s="11" t="s">
        <v>53</v>
      </c>
      <c r="B68" s="12"/>
      <c r="C68" s="61">
        <v>5331</v>
      </c>
      <c r="D68" s="60" t="s">
        <v>54</v>
      </c>
      <c r="E68" s="10"/>
      <c r="F68" s="102">
        <v>1040000</v>
      </c>
      <c r="G68" s="105">
        <v>112600</v>
      </c>
      <c r="H68" s="111" t="s">
        <v>353</v>
      </c>
      <c r="J68" s="17"/>
      <c r="K68" s="131"/>
      <c r="L68" s="131"/>
    </row>
    <row r="69" spans="1:14" x14ac:dyDescent="0.3">
      <c r="A69" s="113" t="s">
        <v>55</v>
      </c>
      <c r="B69" s="113"/>
      <c r="C69" s="127">
        <v>5336</v>
      </c>
      <c r="D69" s="128" t="s">
        <v>23</v>
      </c>
      <c r="E69" s="129">
        <v>3005</v>
      </c>
      <c r="F69" s="114"/>
      <c r="G69" s="115">
        <v>82000</v>
      </c>
      <c r="H69" s="125"/>
      <c r="K69" s="130"/>
      <c r="L69" s="130"/>
      <c r="N69" s="130"/>
    </row>
    <row r="70" spans="1:14" x14ac:dyDescent="0.3">
      <c r="A70" s="113" t="s">
        <v>56</v>
      </c>
      <c r="B70" s="113"/>
      <c r="C70" s="127">
        <v>5336</v>
      </c>
      <c r="D70" s="128" t="s">
        <v>23</v>
      </c>
      <c r="E70" s="129">
        <v>3008</v>
      </c>
      <c r="F70" s="114"/>
      <c r="G70" s="115">
        <v>60600</v>
      </c>
      <c r="H70" s="125"/>
      <c r="K70" s="130"/>
      <c r="L70" s="130"/>
    </row>
    <row r="71" spans="1:14" x14ac:dyDescent="0.3">
      <c r="A71" s="113" t="s">
        <v>57</v>
      </c>
      <c r="B71" s="113"/>
      <c r="C71" s="127">
        <v>5336</v>
      </c>
      <c r="D71" s="128" t="s">
        <v>58</v>
      </c>
      <c r="E71" s="129">
        <v>3012</v>
      </c>
      <c r="F71" s="114"/>
      <c r="G71" s="115">
        <v>28100</v>
      </c>
      <c r="H71" s="125"/>
    </row>
    <row r="72" spans="1:14" x14ac:dyDescent="0.3">
      <c r="A72" s="127" t="s">
        <v>297</v>
      </c>
      <c r="B72" s="113"/>
      <c r="C72" s="127">
        <v>5336</v>
      </c>
      <c r="D72" s="128" t="s">
        <v>296</v>
      </c>
      <c r="E72" s="129">
        <v>10442</v>
      </c>
      <c r="F72" s="114"/>
      <c r="G72" s="115">
        <v>686000</v>
      </c>
      <c r="H72" s="125"/>
    </row>
    <row r="73" spans="1:14" x14ac:dyDescent="0.3">
      <c r="A73" s="113" t="s">
        <v>397</v>
      </c>
      <c r="B73" s="117"/>
      <c r="C73" s="118">
        <v>5336</v>
      </c>
      <c r="D73" s="113" t="s">
        <v>296</v>
      </c>
      <c r="E73" s="113">
        <v>10616.106169999999</v>
      </c>
      <c r="F73" s="119"/>
      <c r="G73" s="115">
        <v>1236100</v>
      </c>
      <c r="H73" s="120"/>
    </row>
    <row r="74" spans="1:14" x14ac:dyDescent="0.3">
      <c r="A74" s="113" t="s">
        <v>398</v>
      </c>
      <c r="B74" s="117"/>
      <c r="C74" s="118">
        <v>5336</v>
      </c>
      <c r="D74" s="113" t="s">
        <v>296</v>
      </c>
      <c r="E74" s="113">
        <v>10627</v>
      </c>
      <c r="F74" s="173"/>
      <c r="G74" s="115">
        <v>532700</v>
      </c>
      <c r="H74" s="120"/>
    </row>
    <row r="75" spans="1:14" x14ac:dyDescent="0.3">
      <c r="A75" s="10" t="s">
        <v>59</v>
      </c>
      <c r="B75" s="10"/>
      <c r="C75" s="7" t="s">
        <v>15</v>
      </c>
      <c r="D75" s="12" t="s">
        <v>60</v>
      </c>
      <c r="E75" s="12"/>
      <c r="F75" s="102">
        <f>'[1]školství 40'!K93</f>
        <v>1129700</v>
      </c>
      <c r="G75" s="105">
        <f>64700-64700-1129700</f>
        <v>-1129700</v>
      </c>
      <c r="H75" s="111" t="s">
        <v>273</v>
      </c>
      <c r="I75" s="8"/>
      <c r="K75" s="130"/>
      <c r="L75" s="130"/>
    </row>
    <row r="76" spans="1:14" x14ac:dyDescent="0.3">
      <c r="A76" s="11" t="s">
        <v>61</v>
      </c>
      <c r="B76" s="12"/>
      <c r="C76" s="7" t="s">
        <v>15</v>
      </c>
      <c r="D76" s="10" t="s">
        <v>60</v>
      </c>
      <c r="E76" s="10"/>
      <c r="F76" s="102">
        <f>'[1]školství 40'!K92</f>
        <v>150000</v>
      </c>
      <c r="G76" s="147">
        <f>-40000+ 64800-64800-110000</f>
        <v>-150000</v>
      </c>
      <c r="H76" s="155" t="s">
        <v>272</v>
      </c>
      <c r="N76" s="130"/>
    </row>
    <row r="77" spans="1:14" x14ac:dyDescent="0.3">
      <c r="A77" s="113" t="s">
        <v>235</v>
      </c>
      <c r="B77" s="113"/>
      <c r="C77" s="113" t="s">
        <v>15</v>
      </c>
      <c r="D77" s="128" t="s">
        <v>60</v>
      </c>
      <c r="E77" s="129"/>
      <c r="F77" s="114"/>
      <c r="G77" s="115">
        <v>40000</v>
      </c>
      <c r="H77" s="125"/>
      <c r="N77" s="130"/>
    </row>
    <row r="78" spans="1:14" x14ac:dyDescent="0.3">
      <c r="A78" s="60" t="s">
        <v>390</v>
      </c>
      <c r="B78" s="10"/>
      <c r="C78" s="7" t="s">
        <v>15</v>
      </c>
      <c r="D78" s="10" t="s">
        <v>52</v>
      </c>
      <c r="E78" s="10"/>
      <c r="F78" s="102">
        <f>'[1]školství 40'!K101+'[1]školství 40'!K78+'[1]školství 40'!K59+'[1]školství 40'!K58+'[1]školství 40'!K57</f>
        <v>81000</v>
      </c>
      <c r="G78" s="105"/>
      <c r="H78" s="105"/>
      <c r="L78" s="130"/>
    </row>
    <row r="79" spans="1:14" x14ac:dyDescent="0.3">
      <c r="A79" s="11" t="s">
        <v>62</v>
      </c>
      <c r="B79" s="12"/>
      <c r="C79" s="7" t="s">
        <v>15</v>
      </c>
      <c r="D79" s="10" t="s">
        <v>63</v>
      </c>
      <c r="E79" s="10"/>
      <c r="F79" s="102">
        <f>'[1]školství 40'!K62</f>
        <v>111700</v>
      </c>
      <c r="G79" s="105"/>
      <c r="H79" s="105"/>
    </row>
    <row r="80" spans="1:14" x14ac:dyDescent="0.3">
      <c r="A80" s="60" t="s">
        <v>64</v>
      </c>
      <c r="B80" s="10"/>
      <c r="C80" s="7" t="s">
        <v>15</v>
      </c>
      <c r="D80" s="12" t="s">
        <v>65</v>
      </c>
      <c r="E80" s="12"/>
      <c r="F80" s="102">
        <f>'[1]školství 40'!K63</f>
        <v>166900</v>
      </c>
      <c r="G80" s="105"/>
      <c r="H80" s="111"/>
    </row>
    <row r="81" spans="1:14" x14ac:dyDescent="0.3">
      <c r="A81" s="11" t="s">
        <v>66</v>
      </c>
      <c r="B81" s="12"/>
      <c r="C81" s="7" t="s">
        <v>15</v>
      </c>
      <c r="D81" s="10" t="s">
        <v>67</v>
      </c>
      <c r="E81" s="10"/>
      <c r="F81" s="102">
        <f>'[1]školství 40'!K64</f>
        <v>150200</v>
      </c>
      <c r="G81" s="105"/>
      <c r="H81" s="111"/>
      <c r="N81" s="130"/>
    </row>
    <row r="82" spans="1:14" x14ac:dyDescent="0.3">
      <c r="A82" s="13" t="s">
        <v>68</v>
      </c>
      <c r="B82" s="15"/>
      <c r="C82" s="7" t="s">
        <v>15</v>
      </c>
      <c r="D82" s="14" t="s">
        <v>69</v>
      </c>
      <c r="E82" s="14"/>
      <c r="F82" s="103">
        <f>'[1]Odbor ŽPD - 50'!K37</f>
        <v>685000</v>
      </c>
      <c r="G82" s="105"/>
      <c r="H82" s="111"/>
    </row>
    <row r="83" spans="1:14" x14ac:dyDescent="0.3">
      <c r="A83" s="14" t="s">
        <v>70</v>
      </c>
      <c r="B83" s="14"/>
      <c r="C83" s="7" t="s">
        <v>15</v>
      </c>
      <c r="D83" s="15" t="s">
        <v>69</v>
      </c>
      <c r="E83" s="15">
        <v>60</v>
      </c>
      <c r="F83" s="103">
        <f>'[1]Odbor ŽPD - 50'!K38</f>
        <v>410000</v>
      </c>
      <c r="G83" s="105"/>
      <c r="H83" s="111"/>
    </row>
    <row r="84" spans="1:14" x14ac:dyDescent="0.3">
      <c r="A84" s="13" t="s">
        <v>71</v>
      </c>
      <c r="B84" s="15"/>
      <c r="C84" s="7" t="s">
        <v>15</v>
      </c>
      <c r="D84" s="14" t="s">
        <v>72</v>
      </c>
      <c r="E84" s="14"/>
      <c r="F84" s="103">
        <f>'[1]Odbor MH - 60'!K104</f>
        <v>8676500</v>
      </c>
      <c r="G84" s="105"/>
      <c r="H84" s="111"/>
    </row>
    <row r="85" spans="1:14" x14ac:dyDescent="0.3">
      <c r="A85" s="127" t="s">
        <v>331</v>
      </c>
      <c r="B85" s="113"/>
      <c r="C85" s="113" t="s">
        <v>15</v>
      </c>
      <c r="D85" s="128" t="s">
        <v>332</v>
      </c>
      <c r="E85" s="129">
        <v>3048</v>
      </c>
      <c r="F85" s="114"/>
      <c r="G85" s="115">
        <v>9000000</v>
      </c>
      <c r="H85" s="125"/>
    </row>
    <row r="86" spans="1:14" x14ac:dyDescent="0.3">
      <c r="A86" s="14" t="s">
        <v>73</v>
      </c>
      <c r="B86" s="14"/>
      <c r="C86" s="7" t="s">
        <v>15</v>
      </c>
      <c r="D86" s="14" t="s">
        <v>74</v>
      </c>
      <c r="E86" s="14"/>
      <c r="F86" s="103">
        <f>'[1]Odbor Informatika - 70'!K26</f>
        <v>4109700</v>
      </c>
      <c r="G86" s="147">
        <v>-200000</v>
      </c>
      <c r="H86" s="147" t="s">
        <v>31</v>
      </c>
    </row>
    <row r="87" spans="1:14" x14ac:dyDescent="0.3">
      <c r="A87" s="128" t="s">
        <v>371</v>
      </c>
      <c r="B87" s="129"/>
      <c r="C87" s="113" t="s">
        <v>15</v>
      </c>
      <c r="D87" s="128" t="s">
        <v>372</v>
      </c>
      <c r="E87" s="129"/>
      <c r="F87" s="114"/>
      <c r="G87" s="115">
        <v>100000</v>
      </c>
      <c r="H87" s="115"/>
    </row>
    <row r="88" spans="1:14" x14ac:dyDescent="0.3">
      <c r="A88" s="143" t="s">
        <v>232</v>
      </c>
      <c r="B88" s="143"/>
      <c r="C88" s="143" t="s">
        <v>15</v>
      </c>
      <c r="D88" s="143" t="s">
        <v>74</v>
      </c>
      <c r="E88" s="143"/>
      <c r="F88" s="144"/>
      <c r="G88" s="145">
        <v>800000</v>
      </c>
      <c r="H88" s="115"/>
    </row>
    <row r="89" spans="1:14" x14ac:dyDescent="0.3">
      <c r="A89" s="127" t="s">
        <v>401</v>
      </c>
      <c r="B89" s="143"/>
      <c r="C89" s="174">
        <v>5347</v>
      </c>
      <c r="D89" s="143" t="s">
        <v>402</v>
      </c>
      <c r="E89" s="143"/>
      <c r="F89" s="144"/>
      <c r="G89" s="145">
        <v>285600</v>
      </c>
      <c r="H89" s="115"/>
      <c r="I89" s="1" t="s">
        <v>403</v>
      </c>
    </row>
    <row r="90" spans="1:14" ht="15" thickBot="1" x14ac:dyDescent="0.35">
      <c r="A90" s="16" t="s">
        <v>75</v>
      </c>
      <c r="B90" s="16"/>
      <c r="C90" s="16" t="s">
        <v>20</v>
      </c>
      <c r="D90" s="16"/>
      <c r="E90" s="16"/>
      <c r="F90" s="104">
        <f>SUM(F5:F86)</f>
        <v>142069100</v>
      </c>
      <c r="G90" s="106">
        <f>SUM(G5:G89)</f>
        <v>26872100</v>
      </c>
      <c r="H90" s="106">
        <f>F90+G90</f>
        <v>168941200</v>
      </c>
    </row>
    <row r="92" spans="1:14" x14ac:dyDescent="0.3">
      <c r="F92" s="8"/>
    </row>
    <row r="93" spans="1:14" x14ac:dyDescent="0.3">
      <c r="A93" s="17" t="s">
        <v>76</v>
      </c>
    </row>
    <row r="94" spans="1:14" x14ac:dyDescent="0.3">
      <c r="A94" s="20"/>
      <c r="B94" s="21"/>
      <c r="C94" s="21"/>
      <c r="D94" s="21"/>
      <c r="E94" s="21"/>
      <c r="F94" s="22" t="s">
        <v>77</v>
      </c>
      <c r="G94" s="42"/>
      <c r="H94" s="108"/>
    </row>
    <row r="95" spans="1:14" x14ac:dyDescent="0.3">
      <c r="A95" s="37" t="s">
        <v>78</v>
      </c>
      <c r="B95" s="19"/>
      <c r="C95" s="19" t="s">
        <v>79</v>
      </c>
      <c r="D95" s="19"/>
      <c r="E95" s="19"/>
      <c r="F95" s="23">
        <v>26948000</v>
      </c>
      <c r="G95" s="105">
        <v>50000</v>
      </c>
      <c r="H95" s="65">
        <f>F95+G95</f>
        <v>26998000</v>
      </c>
      <c r="I95" s="1" t="s">
        <v>319</v>
      </c>
    </row>
    <row r="96" spans="1:14" x14ac:dyDescent="0.3">
      <c r="A96" s="37" t="s">
        <v>80</v>
      </c>
      <c r="B96" s="19"/>
      <c r="C96" s="19" t="s">
        <v>81</v>
      </c>
      <c r="D96" s="19"/>
      <c r="E96" s="19"/>
      <c r="F96" s="23">
        <f>4042800</f>
        <v>4042800</v>
      </c>
      <c r="G96" s="105">
        <f>71900+70000+7700+7500+85000</f>
        <v>242100</v>
      </c>
      <c r="H96" s="65">
        <f>F96+G105+G106+G96</f>
        <v>6393600</v>
      </c>
      <c r="I96" s="1" t="s">
        <v>319</v>
      </c>
    </row>
    <row r="97" spans="1:10" x14ac:dyDescent="0.3">
      <c r="A97" s="27" t="s">
        <v>82</v>
      </c>
      <c r="B97" s="28"/>
      <c r="C97" s="28"/>
      <c r="D97" s="152"/>
      <c r="E97" s="28"/>
      <c r="F97" s="29"/>
      <c r="G97" s="105"/>
      <c r="H97" s="109"/>
      <c r="I97" s="8"/>
    </row>
    <row r="98" spans="1:10" x14ac:dyDescent="0.3">
      <c r="A98" s="27" t="s">
        <v>83</v>
      </c>
      <c r="B98" s="30"/>
      <c r="C98" s="31">
        <v>2122</v>
      </c>
      <c r="D98" s="30"/>
      <c r="E98" s="30"/>
      <c r="F98" s="32">
        <f>SUM(F99:F102)</f>
        <v>860000</v>
      </c>
      <c r="G98" s="105"/>
      <c r="H98" s="109"/>
    </row>
    <row r="99" spans="1:10" x14ac:dyDescent="0.3">
      <c r="A99" s="70" t="s">
        <v>84</v>
      </c>
      <c r="B99" s="30">
        <v>3113</v>
      </c>
      <c r="C99" s="31">
        <v>2122</v>
      </c>
      <c r="D99" s="30"/>
      <c r="E99" s="30"/>
      <c r="F99" s="32">
        <v>120000</v>
      </c>
      <c r="G99" s="105"/>
      <c r="H99" s="109"/>
    </row>
    <row r="100" spans="1:10" x14ac:dyDescent="0.3">
      <c r="A100" s="70" t="s">
        <v>85</v>
      </c>
      <c r="B100" s="30">
        <v>3117</v>
      </c>
      <c r="C100" s="31">
        <v>2122</v>
      </c>
      <c r="D100" s="30"/>
      <c r="E100" s="30"/>
      <c r="F100" s="32">
        <v>100000</v>
      </c>
      <c r="G100" s="105"/>
      <c r="H100" s="109"/>
    </row>
    <row r="101" spans="1:10" x14ac:dyDescent="0.3">
      <c r="A101" s="70" t="s">
        <v>86</v>
      </c>
      <c r="B101" s="30">
        <v>3111</v>
      </c>
      <c r="C101" s="31">
        <v>2122</v>
      </c>
      <c r="D101" s="30"/>
      <c r="E101" s="30"/>
      <c r="F101" s="32">
        <v>200000</v>
      </c>
      <c r="G101" s="105"/>
      <c r="H101" s="109"/>
    </row>
    <row r="102" spans="1:10" x14ac:dyDescent="0.3">
      <c r="A102" s="70" t="s">
        <v>87</v>
      </c>
      <c r="B102" s="30">
        <v>3322</v>
      </c>
      <c r="C102" s="31">
        <v>2122</v>
      </c>
      <c r="D102" s="30"/>
      <c r="E102" s="30"/>
      <c r="F102" s="32">
        <v>440000</v>
      </c>
      <c r="G102" s="105"/>
      <c r="H102" s="109"/>
    </row>
    <row r="103" spans="1:10" x14ac:dyDescent="0.3">
      <c r="A103" s="27" t="s">
        <v>88</v>
      </c>
      <c r="B103" s="30"/>
      <c r="C103" s="31">
        <v>2420</v>
      </c>
      <c r="D103" s="30"/>
      <c r="E103" s="30"/>
      <c r="F103" s="32">
        <v>100000</v>
      </c>
      <c r="G103" s="105"/>
      <c r="H103" s="109"/>
    </row>
    <row r="104" spans="1:10" x14ac:dyDescent="0.3">
      <c r="A104" s="33" t="s">
        <v>89</v>
      </c>
      <c r="B104" s="30"/>
      <c r="C104" s="31">
        <v>2460</v>
      </c>
      <c r="D104" s="30"/>
      <c r="E104" s="30"/>
      <c r="F104" s="32">
        <v>75000</v>
      </c>
      <c r="G104" s="105">
        <v>-71000</v>
      </c>
      <c r="H104" s="65">
        <f>F104+G104</f>
        <v>4000</v>
      </c>
    </row>
    <row r="105" spans="1:10" x14ac:dyDescent="0.3">
      <c r="A105" s="132" t="s">
        <v>19</v>
      </c>
      <c r="B105" s="133"/>
      <c r="C105" s="134" t="s">
        <v>90</v>
      </c>
      <c r="D105" s="133"/>
      <c r="E105" s="133"/>
      <c r="F105" s="135"/>
      <c r="G105" s="115">
        <v>1534700</v>
      </c>
      <c r="H105" s="136">
        <f>G105</f>
        <v>1534700</v>
      </c>
    </row>
    <row r="106" spans="1:10" x14ac:dyDescent="0.3">
      <c r="A106" s="153" t="s">
        <v>274</v>
      </c>
      <c r="B106" s="133"/>
      <c r="C106" s="134" t="s">
        <v>90</v>
      </c>
      <c r="D106" s="133"/>
      <c r="E106" s="133"/>
      <c r="F106" s="135"/>
      <c r="G106" s="115">
        <v>574000</v>
      </c>
      <c r="H106" s="136">
        <f>G106</f>
        <v>574000</v>
      </c>
    </row>
    <row r="107" spans="1:10" x14ac:dyDescent="0.3">
      <c r="A107" s="37" t="s">
        <v>91</v>
      </c>
      <c r="B107" s="19"/>
      <c r="C107" s="19" t="s">
        <v>92</v>
      </c>
      <c r="D107" s="19"/>
      <c r="E107" s="19"/>
      <c r="F107" s="23">
        <v>0</v>
      </c>
      <c r="G107" s="105"/>
      <c r="H107" s="65">
        <f>SUM(G108:G111)</f>
        <v>75000</v>
      </c>
    </row>
    <row r="108" spans="1:10" x14ac:dyDescent="0.3">
      <c r="A108" s="153" t="s">
        <v>261</v>
      </c>
      <c r="B108" s="117"/>
      <c r="C108" s="117" t="s">
        <v>264</v>
      </c>
      <c r="D108" s="117"/>
      <c r="E108" s="117"/>
      <c r="F108" s="119"/>
      <c r="G108" s="115">
        <v>35000</v>
      </c>
      <c r="H108" s="125" t="s">
        <v>263</v>
      </c>
    </row>
    <row r="109" spans="1:10" x14ac:dyDescent="0.3">
      <c r="A109" s="153" t="s">
        <v>274</v>
      </c>
      <c r="B109" s="117"/>
      <c r="C109" s="117" t="s">
        <v>264</v>
      </c>
      <c r="D109" s="117"/>
      <c r="E109" s="117"/>
      <c r="F109" s="119"/>
      <c r="G109" s="115">
        <v>10000</v>
      </c>
      <c r="H109" s="120"/>
    </row>
    <row r="110" spans="1:10" x14ac:dyDescent="0.3">
      <c r="A110" s="153" t="s">
        <v>298</v>
      </c>
      <c r="B110" s="117"/>
      <c r="C110" s="117" t="s">
        <v>264</v>
      </c>
      <c r="D110" s="117"/>
      <c r="E110" s="117"/>
      <c r="F110" s="119"/>
      <c r="G110" s="115">
        <v>15000</v>
      </c>
      <c r="H110" s="120"/>
    </row>
    <row r="111" spans="1:10" x14ac:dyDescent="0.3">
      <c r="A111" s="165" t="s">
        <v>363</v>
      </c>
      <c r="B111" s="117"/>
      <c r="C111" s="117" t="s">
        <v>264</v>
      </c>
      <c r="D111" s="117"/>
      <c r="E111" s="117"/>
      <c r="F111" s="119"/>
      <c r="G111" s="115">
        <v>15000</v>
      </c>
      <c r="H111" s="120"/>
    </row>
    <row r="112" spans="1:10" x14ac:dyDescent="0.3">
      <c r="A112" s="37" t="s">
        <v>93</v>
      </c>
      <c r="B112" s="19"/>
      <c r="C112" s="19"/>
      <c r="D112" s="19"/>
      <c r="E112" s="19"/>
      <c r="F112" s="23">
        <f>SUM(F113:F115)</f>
        <v>112642000</v>
      </c>
      <c r="G112" s="105"/>
      <c r="H112" s="65">
        <f>SUM(G116:G151,F112)</f>
        <v>161058300</v>
      </c>
      <c r="J112" s="8"/>
    </row>
    <row r="113" spans="1:9" x14ac:dyDescent="0.3">
      <c r="A113" s="34" t="s">
        <v>94</v>
      </c>
      <c r="B113" s="35"/>
      <c r="C113" s="81">
        <v>4137</v>
      </c>
      <c r="D113" s="80"/>
      <c r="E113" s="80"/>
      <c r="F113" s="36">
        <v>10839000</v>
      </c>
      <c r="G113" s="105"/>
      <c r="H113" s="109"/>
      <c r="I113" s="8"/>
    </row>
    <row r="114" spans="1:9" x14ac:dyDescent="0.3">
      <c r="A114" s="34" t="s">
        <v>95</v>
      </c>
      <c r="B114" s="35"/>
      <c r="C114" s="81">
        <v>4137</v>
      </c>
      <c r="D114" s="80"/>
      <c r="E114" s="80"/>
      <c r="F114" s="36">
        <v>91803000</v>
      </c>
      <c r="G114" s="105"/>
      <c r="H114" s="109"/>
    </row>
    <row r="115" spans="1:9" x14ac:dyDescent="0.3">
      <c r="A115" s="34" t="s">
        <v>96</v>
      </c>
      <c r="B115" s="35"/>
      <c r="C115" s="81">
        <v>4131</v>
      </c>
      <c r="D115" s="80"/>
      <c r="E115" s="80"/>
      <c r="F115" s="36">
        <v>10000000</v>
      </c>
      <c r="G115" s="105"/>
      <c r="H115" s="109"/>
    </row>
    <row r="116" spans="1:9" x14ac:dyDescent="0.3">
      <c r="A116" s="116" t="s">
        <v>22</v>
      </c>
      <c r="B116" s="117"/>
      <c r="C116" s="118">
        <v>4137</v>
      </c>
      <c r="D116" s="113" t="s">
        <v>23</v>
      </c>
      <c r="E116" s="113">
        <v>3002</v>
      </c>
      <c r="F116" s="119"/>
      <c r="G116" s="115">
        <v>4900000</v>
      </c>
      <c r="H116" s="120"/>
    </row>
    <row r="117" spans="1:9" x14ac:dyDescent="0.3">
      <c r="A117" s="126" t="s">
        <v>97</v>
      </c>
      <c r="B117" s="117"/>
      <c r="C117" s="118">
        <v>4137</v>
      </c>
      <c r="D117" s="113" t="s">
        <v>44</v>
      </c>
      <c r="E117" s="113">
        <v>2005</v>
      </c>
      <c r="F117" s="119"/>
      <c r="G117" s="115">
        <v>480000</v>
      </c>
      <c r="H117" s="120"/>
    </row>
    <row r="118" spans="1:9" x14ac:dyDescent="0.3">
      <c r="A118" s="126" t="s">
        <v>24</v>
      </c>
      <c r="B118" s="117"/>
      <c r="C118" s="118">
        <v>4137</v>
      </c>
      <c r="D118" s="113" t="s">
        <v>25</v>
      </c>
      <c r="E118" s="113">
        <v>2006</v>
      </c>
      <c r="F118" s="119"/>
      <c r="G118" s="115">
        <v>27100</v>
      </c>
      <c r="H118" s="120"/>
    </row>
    <row r="119" spans="1:9" x14ac:dyDescent="0.3">
      <c r="A119" s="126" t="s">
        <v>237</v>
      </c>
      <c r="B119" s="117"/>
      <c r="C119" s="118">
        <v>4137</v>
      </c>
      <c r="D119" s="113" t="s">
        <v>25</v>
      </c>
      <c r="E119" s="113">
        <v>2015</v>
      </c>
      <c r="F119" s="119"/>
      <c r="G119" s="115">
        <v>39800</v>
      </c>
      <c r="H119" s="120"/>
    </row>
    <row r="120" spans="1:9" x14ac:dyDescent="0.3">
      <c r="A120" s="113" t="s">
        <v>98</v>
      </c>
      <c r="B120" s="117"/>
      <c r="C120" s="118">
        <v>4137</v>
      </c>
      <c r="D120" s="113" t="s">
        <v>23</v>
      </c>
      <c r="E120" s="113">
        <v>3005</v>
      </c>
      <c r="F120" s="119"/>
      <c r="G120" s="115">
        <v>82000</v>
      </c>
      <c r="H120" s="120"/>
    </row>
    <row r="121" spans="1:9" x14ac:dyDescent="0.3">
      <c r="A121" s="113" t="s">
        <v>99</v>
      </c>
      <c r="B121" s="117"/>
      <c r="C121" s="118">
        <v>4137</v>
      </c>
      <c r="D121" s="113" t="s">
        <v>23</v>
      </c>
      <c r="E121" s="113">
        <v>3008</v>
      </c>
      <c r="F121" s="119"/>
      <c r="G121" s="115">
        <v>60600</v>
      </c>
      <c r="H121" s="120"/>
    </row>
    <row r="122" spans="1:9" x14ac:dyDescent="0.3">
      <c r="A122" s="112" t="s">
        <v>100</v>
      </c>
      <c r="B122" s="117"/>
      <c r="C122" s="118">
        <v>4137</v>
      </c>
      <c r="D122" s="113" t="s">
        <v>46</v>
      </c>
      <c r="E122" s="113">
        <v>3010</v>
      </c>
      <c r="F122" s="119"/>
      <c r="G122" s="115">
        <v>724000</v>
      </c>
      <c r="H122" s="120"/>
    </row>
    <row r="123" spans="1:9" x14ac:dyDescent="0.3">
      <c r="A123" s="113" t="s">
        <v>101</v>
      </c>
      <c r="B123" s="117"/>
      <c r="C123" s="118">
        <v>4137</v>
      </c>
      <c r="D123" s="113" t="s">
        <v>58</v>
      </c>
      <c r="E123" s="113">
        <v>3012</v>
      </c>
      <c r="F123" s="119"/>
      <c r="G123" s="115">
        <v>28100</v>
      </c>
      <c r="H123" s="120"/>
    </row>
    <row r="124" spans="1:9" x14ac:dyDescent="0.3">
      <c r="A124" s="112" t="s">
        <v>102</v>
      </c>
      <c r="B124" s="117"/>
      <c r="C124" s="118">
        <v>4137</v>
      </c>
      <c r="D124" s="113" t="s">
        <v>23</v>
      </c>
      <c r="E124" s="113">
        <v>3009</v>
      </c>
      <c r="F124" s="119"/>
      <c r="G124" s="115">
        <v>125000</v>
      </c>
      <c r="H124" s="120"/>
    </row>
    <row r="125" spans="1:9" x14ac:dyDescent="0.3">
      <c r="A125" s="112" t="s">
        <v>254</v>
      </c>
      <c r="B125" s="117"/>
      <c r="C125" s="118">
        <v>4137</v>
      </c>
      <c r="D125" s="113" t="s">
        <v>25</v>
      </c>
      <c r="E125" s="113">
        <v>2030</v>
      </c>
      <c r="F125" s="119"/>
      <c r="G125" s="115">
        <v>37700</v>
      </c>
      <c r="H125" s="120"/>
    </row>
    <row r="126" spans="1:9" x14ac:dyDescent="0.3">
      <c r="A126" s="153" t="s">
        <v>278</v>
      </c>
      <c r="B126" s="117"/>
      <c r="C126" s="118">
        <v>4137</v>
      </c>
      <c r="D126" s="113" t="s">
        <v>23</v>
      </c>
      <c r="E126" s="113">
        <v>3022</v>
      </c>
      <c r="F126" s="119"/>
      <c r="G126" s="115">
        <v>110000</v>
      </c>
      <c r="H126" s="120"/>
    </row>
    <row r="127" spans="1:9" x14ac:dyDescent="0.3">
      <c r="A127" s="153" t="s">
        <v>281</v>
      </c>
      <c r="B127" s="117"/>
      <c r="C127" s="118">
        <v>4137</v>
      </c>
      <c r="D127" s="113" t="s">
        <v>282</v>
      </c>
      <c r="E127" s="113">
        <v>3028</v>
      </c>
      <c r="F127" s="119"/>
      <c r="G127" s="115">
        <v>811000</v>
      </c>
      <c r="H127" s="120"/>
    </row>
    <row r="128" spans="1:9" x14ac:dyDescent="0.3">
      <c r="A128" s="153" t="s">
        <v>284</v>
      </c>
      <c r="B128" s="117"/>
      <c r="C128" s="118">
        <v>4137</v>
      </c>
      <c r="D128" s="113" t="s">
        <v>285</v>
      </c>
      <c r="E128" s="113">
        <v>3027</v>
      </c>
      <c r="F128" s="119"/>
      <c r="G128" s="115">
        <v>1208800</v>
      </c>
      <c r="H128" s="120"/>
    </row>
    <row r="129" spans="1:8" x14ac:dyDescent="0.3">
      <c r="A129" s="153" t="s">
        <v>289</v>
      </c>
      <c r="B129" s="117"/>
      <c r="C129" s="118">
        <v>4137</v>
      </c>
      <c r="D129" s="113" t="s">
        <v>23</v>
      </c>
      <c r="E129" s="113">
        <v>3023</v>
      </c>
      <c r="F129" s="119"/>
      <c r="G129" s="115">
        <v>77900</v>
      </c>
      <c r="H129" s="120"/>
    </row>
    <row r="130" spans="1:8" x14ac:dyDescent="0.3">
      <c r="A130" s="127" t="s">
        <v>292</v>
      </c>
      <c r="B130" s="117"/>
      <c r="C130" s="118">
        <v>4137</v>
      </c>
      <c r="D130" s="156" t="s">
        <v>293</v>
      </c>
      <c r="E130" s="113">
        <v>2300206</v>
      </c>
      <c r="F130" s="119"/>
      <c r="G130" s="115">
        <v>1085800</v>
      </c>
      <c r="H130" s="120"/>
    </row>
    <row r="131" spans="1:8" ht="15.6" x14ac:dyDescent="0.3">
      <c r="A131" s="127" t="s">
        <v>295</v>
      </c>
      <c r="B131" s="117"/>
      <c r="C131" s="118">
        <v>4137</v>
      </c>
      <c r="D131" s="158" t="s">
        <v>296</v>
      </c>
      <c r="E131" s="113">
        <v>10442</v>
      </c>
      <c r="F131" s="119"/>
      <c r="G131" s="115">
        <v>686000</v>
      </c>
      <c r="H131" s="120"/>
    </row>
    <row r="132" spans="1:8" ht="15.6" x14ac:dyDescent="0.3">
      <c r="A132" s="127" t="s">
        <v>311</v>
      </c>
      <c r="B132" s="117"/>
      <c r="C132" s="118">
        <v>4137</v>
      </c>
      <c r="D132" s="158" t="s">
        <v>25</v>
      </c>
      <c r="E132" s="113">
        <v>2048</v>
      </c>
      <c r="F132" s="119"/>
      <c r="G132" s="115">
        <v>35300</v>
      </c>
      <c r="H132" s="120"/>
    </row>
    <row r="133" spans="1:8" ht="15.6" x14ac:dyDescent="0.3">
      <c r="A133" s="127" t="s">
        <v>312</v>
      </c>
      <c r="B133" s="117"/>
      <c r="C133" s="118">
        <v>4137</v>
      </c>
      <c r="D133" s="158" t="s">
        <v>23</v>
      </c>
      <c r="E133" s="113">
        <v>3029</v>
      </c>
      <c r="F133" s="119"/>
      <c r="G133" s="115">
        <v>123000</v>
      </c>
      <c r="H133" s="120"/>
    </row>
    <row r="134" spans="1:8" ht="15.6" x14ac:dyDescent="0.3">
      <c r="A134" s="127" t="s">
        <v>324</v>
      </c>
      <c r="B134" s="117"/>
      <c r="C134" s="118">
        <v>4137</v>
      </c>
      <c r="D134" s="158" t="s">
        <v>242</v>
      </c>
      <c r="E134" s="113">
        <v>80430</v>
      </c>
      <c r="F134" s="119"/>
      <c r="G134" s="115">
        <v>900000</v>
      </c>
      <c r="H134" s="120"/>
    </row>
    <row r="135" spans="1:8" ht="15.6" x14ac:dyDescent="0.3">
      <c r="A135" s="127" t="s">
        <v>328</v>
      </c>
      <c r="B135" s="117"/>
      <c r="C135" s="118">
        <v>4137</v>
      </c>
      <c r="D135" s="158" t="s">
        <v>329</v>
      </c>
      <c r="E135" s="113" t="s">
        <v>330</v>
      </c>
      <c r="F135" s="119"/>
      <c r="G135" s="115">
        <v>14000000</v>
      </c>
      <c r="H135" s="120"/>
    </row>
    <row r="136" spans="1:8" ht="15.6" x14ac:dyDescent="0.3">
      <c r="A136" s="127" t="s">
        <v>333</v>
      </c>
      <c r="B136" s="117"/>
      <c r="C136" s="118">
        <v>4137</v>
      </c>
      <c r="D136" s="158" t="s">
        <v>334</v>
      </c>
      <c r="E136" s="113">
        <v>3048</v>
      </c>
      <c r="F136" s="119"/>
      <c r="G136" s="115">
        <v>3128300</v>
      </c>
      <c r="H136" s="120"/>
    </row>
    <row r="137" spans="1:8" ht="15.6" x14ac:dyDescent="0.3">
      <c r="A137" s="127" t="s">
        <v>337</v>
      </c>
      <c r="B137" s="117"/>
      <c r="C137" s="118">
        <v>4137</v>
      </c>
      <c r="D137" s="158" t="s">
        <v>60</v>
      </c>
      <c r="E137" s="113">
        <v>3037</v>
      </c>
      <c r="F137" s="119"/>
      <c r="G137" s="115">
        <v>1067000</v>
      </c>
      <c r="H137" s="120"/>
    </row>
    <row r="138" spans="1:8" ht="15.6" x14ac:dyDescent="0.3">
      <c r="A138" s="127" t="s">
        <v>338</v>
      </c>
      <c r="B138" s="117"/>
      <c r="C138" s="118">
        <v>4137</v>
      </c>
      <c r="D138" s="158" t="s">
        <v>23</v>
      </c>
      <c r="E138" s="113">
        <v>3045</v>
      </c>
      <c r="F138" s="119"/>
      <c r="G138" s="115">
        <v>170000</v>
      </c>
      <c r="H138" s="120"/>
    </row>
    <row r="139" spans="1:8" x14ac:dyDescent="0.3">
      <c r="A139" s="127" t="s">
        <v>343</v>
      </c>
      <c r="B139" s="113"/>
      <c r="C139" s="127">
        <v>4137</v>
      </c>
      <c r="D139" s="113" t="s">
        <v>290</v>
      </c>
      <c r="E139" s="113">
        <v>2310182</v>
      </c>
      <c r="F139" s="114"/>
      <c r="G139" s="115">
        <v>161500</v>
      </c>
      <c r="H139" s="120"/>
    </row>
    <row r="140" spans="1:8" x14ac:dyDescent="0.3">
      <c r="A140" s="127" t="s">
        <v>344</v>
      </c>
      <c r="B140" s="113"/>
      <c r="C140" s="127">
        <v>4137</v>
      </c>
      <c r="D140" s="113"/>
      <c r="E140" s="113">
        <v>1012</v>
      </c>
      <c r="F140" s="114"/>
      <c r="G140" s="115">
        <v>1200</v>
      </c>
      <c r="H140" s="120"/>
    </row>
    <row r="141" spans="1:8" x14ac:dyDescent="0.3">
      <c r="A141" s="127" t="s">
        <v>350</v>
      </c>
      <c r="B141" s="113"/>
      <c r="C141" s="127">
        <v>4137</v>
      </c>
      <c r="D141" s="113" t="s">
        <v>349</v>
      </c>
      <c r="E141" s="113">
        <v>2062</v>
      </c>
      <c r="F141" s="114"/>
      <c r="G141" s="115">
        <v>701500</v>
      </c>
      <c r="H141" s="120"/>
    </row>
    <row r="142" spans="1:8" x14ac:dyDescent="0.3">
      <c r="A142" s="127" t="s">
        <v>361</v>
      </c>
      <c r="B142" s="113"/>
      <c r="C142" s="127">
        <v>4137</v>
      </c>
      <c r="D142" s="113" t="s">
        <v>25</v>
      </c>
      <c r="E142" s="113">
        <v>2066</v>
      </c>
      <c r="F142" s="114"/>
      <c r="G142" s="115">
        <v>4700</v>
      </c>
      <c r="H142" s="120"/>
    </row>
    <row r="143" spans="1:8" x14ac:dyDescent="0.3">
      <c r="A143" s="127" t="s">
        <v>362</v>
      </c>
      <c r="B143" s="113"/>
      <c r="C143" s="127">
        <v>4137</v>
      </c>
      <c r="D143" s="113" t="s">
        <v>246</v>
      </c>
      <c r="E143" s="113">
        <v>2068</v>
      </c>
      <c r="F143" s="114"/>
      <c r="G143" s="115">
        <v>1046800</v>
      </c>
      <c r="H143" s="120"/>
    </row>
    <row r="144" spans="1:8" x14ac:dyDescent="0.3">
      <c r="A144" s="112" t="s">
        <v>247</v>
      </c>
      <c r="B144" s="117"/>
      <c r="C144" s="118">
        <v>4137</v>
      </c>
      <c r="D144" s="113" t="s">
        <v>246</v>
      </c>
      <c r="E144" s="113">
        <v>2028</v>
      </c>
      <c r="F144" s="119"/>
      <c r="G144" s="115">
        <v>904600</v>
      </c>
      <c r="H144" s="120"/>
    </row>
    <row r="145" spans="1:9" x14ac:dyDescent="0.3">
      <c r="A145" s="112" t="s">
        <v>244</v>
      </c>
      <c r="B145" s="117"/>
      <c r="C145" s="118">
        <v>4137</v>
      </c>
      <c r="D145" s="113" t="s">
        <v>23</v>
      </c>
      <c r="E145" s="113">
        <v>3017</v>
      </c>
      <c r="F145" s="119"/>
      <c r="G145" s="115">
        <v>150000</v>
      </c>
      <c r="H145" s="120"/>
    </row>
    <row r="146" spans="1:9" x14ac:dyDescent="0.3">
      <c r="A146" s="113" t="s">
        <v>241</v>
      </c>
      <c r="B146" s="117"/>
      <c r="C146" s="118">
        <v>4137</v>
      </c>
      <c r="D146" s="113" t="s">
        <v>242</v>
      </c>
      <c r="E146" s="113">
        <v>80391</v>
      </c>
      <c r="F146" s="119"/>
      <c r="G146" s="115">
        <v>11500000</v>
      </c>
      <c r="H146" s="120"/>
    </row>
    <row r="147" spans="1:9" x14ac:dyDescent="0.3">
      <c r="A147" s="113" t="s">
        <v>236</v>
      </c>
      <c r="B147" s="117"/>
      <c r="C147" s="118">
        <v>4137</v>
      </c>
      <c r="D147" s="113" t="s">
        <v>60</v>
      </c>
      <c r="E147" s="113">
        <v>3013</v>
      </c>
      <c r="F147" s="119"/>
      <c r="G147" s="115">
        <v>259000</v>
      </c>
      <c r="H147" s="120"/>
    </row>
    <row r="148" spans="1:9" x14ac:dyDescent="0.3">
      <c r="A148" s="113" t="s">
        <v>388</v>
      </c>
      <c r="B148" s="117"/>
      <c r="C148" s="118">
        <v>4137</v>
      </c>
      <c r="D148" s="113" t="s">
        <v>246</v>
      </c>
      <c r="E148" s="113">
        <v>2077</v>
      </c>
      <c r="F148" s="119"/>
      <c r="G148" s="115">
        <v>1988700</v>
      </c>
      <c r="H148" s="120"/>
    </row>
    <row r="149" spans="1:9" x14ac:dyDescent="0.3">
      <c r="A149" s="113" t="s">
        <v>394</v>
      </c>
      <c r="B149" s="117"/>
      <c r="C149" s="118">
        <v>4137</v>
      </c>
      <c r="D149" s="113" t="s">
        <v>25</v>
      </c>
      <c r="E149" s="113">
        <v>2091</v>
      </c>
      <c r="F149" s="119"/>
      <c r="G149" s="115">
        <v>22100</v>
      </c>
      <c r="H149" s="120"/>
    </row>
    <row r="150" spans="1:9" x14ac:dyDescent="0.3">
      <c r="A150" s="113" t="s">
        <v>395</v>
      </c>
      <c r="B150" s="117"/>
      <c r="C150" s="118">
        <v>4137</v>
      </c>
      <c r="D150" s="113" t="s">
        <v>296</v>
      </c>
      <c r="E150" s="113">
        <v>2086</v>
      </c>
      <c r="F150" s="119"/>
      <c r="G150" s="115">
        <v>1236100</v>
      </c>
      <c r="H150" s="120"/>
    </row>
    <row r="151" spans="1:9" x14ac:dyDescent="0.3">
      <c r="A151" s="113" t="s">
        <v>399</v>
      </c>
      <c r="B151" s="117"/>
      <c r="C151" s="118">
        <v>4137</v>
      </c>
      <c r="D151" s="113" t="s">
        <v>296</v>
      </c>
      <c r="E151" s="113">
        <v>2085</v>
      </c>
      <c r="F151" s="119"/>
      <c r="G151" s="115">
        <v>532700</v>
      </c>
      <c r="H151" s="120"/>
    </row>
    <row r="152" spans="1:9" x14ac:dyDescent="0.3">
      <c r="A152" s="24" t="s">
        <v>103</v>
      </c>
      <c r="B152" s="25"/>
      <c r="C152" s="25"/>
      <c r="D152" s="25"/>
      <c r="E152" s="25"/>
      <c r="F152" s="26">
        <f>SUM(F112,F107,F96,F95)</f>
        <v>143632800</v>
      </c>
      <c r="G152" s="106">
        <f>SUM(G107:G149,G95:G96,G105)</f>
        <v>48549300</v>
      </c>
      <c r="H152" s="106">
        <f>H112+H96+H95+H107+G104</f>
        <v>194453900</v>
      </c>
      <c r="I152" s="8"/>
    </row>
    <row r="153" spans="1:9" x14ac:dyDescent="0.3">
      <c r="A153" s="62" t="s">
        <v>104</v>
      </c>
      <c r="B153" s="21"/>
      <c r="C153" s="21" t="s">
        <v>105</v>
      </c>
      <c r="D153" s="21"/>
      <c r="E153" s="21"/>
      <c r="F153" s="79">
        <f>'Závazné ukazatele_inv.výdajů'!J74</f>
        <v>124829600</v>
      </c>
      <c r="G153" s="105"/>
      <c r="H153" s="65">
        <f>'Závazné ukazatele_inv.výdajů'!L74</f>
        <v>149064100</v>
      </c>
    </row>
    <row r="154" spans="1:9" ht="15" customHeight="1" x14ac:dyDescent="0.3">
      <c r="A154" s="57" t="s">
        <v>107</v>
      </c>
      <c r="B154" s="25"/>
      <c r="C154" s="58">
        <v>8115</v>
      </c>
      <c r="D154" s="25"/>
      <c r="E154" s="25"/>
      <c r="F154" s="59">
        <f>(F152-F90-F153)*(-1)</f>
        <v>123265900</v>
      </c>
      <c r="G154" s="106"/>
      <c r="H154" s="110"/>
    </row>
    <row r="155" spans="1:9" ht="15" customHeight="1" x14ac:dyDescent="0.3">
      <c r="A155" s="150" t="s">
        <v>248</v>
      </c>
      <c r="B155" s="117"/>
      <c r="C155" s="148">
        <v>8115</v>
      </c>
      <c r="D155" s="117"/>
      <c r="E155" s="117"/>
      <c r="F155" s="149"/>
      <c r="G155" s="149">
        <v>11924800</v>
      </c>
      <c r="H155" s="117"/>
    </row>
    <row r="156" spans="1:9" ht="15" customHeight="1" x14ac:dyDescent="0.3">
      <c r="A156" s="113" t="s">
        <v>251</v>
      </c>
      <c r="B156" s="117"/>
      <c r="C156" s="148">
        <v>8115</v>
      </c>
      <c r="D156" s="117"/>
      <c r="E156" s="117"/>
      <c r="F156" s="149"/>
      <c r="G156" s="149">
        <f>(6957000+4967900)*-1</f>
        <v>-11924900</v>
      </c>
      <c r="H156" s="117"/>
    </row>
    <row r="157" spans="1:9" ht="15" customHeight="1" x14ac:dyDescent="0.3">
      <c r="A157" s="57" t="s">
        <v>249</v>
      </c>
      <c r="B157" s="25"/>
      <c r="C157" s="58">
        <v>8115</v>
      </c>
      <c r="D157" s="25"/>
      <c r="E157" s="25"/>
      <c r="F157" s="59"/>
      <c r="G157" s="106"/>
      <c r="H157" s="59">
        <f>F154+G155+G156</f>
        <v>123265800</v>
      </c>
    </row>
    <row r="159" spans="1:9" x14ac:dyDescent="0.3">
      <c r="A159" s="17" t="s">
        <v>108</v>
      </c>
    </row>
    <row r="160" spans="1:9" x14ac:dyDescent="0.3">
      <c r="A160" s="62" t="s">
        <v>109</v>
      </c>
      <c r="B160" s="21"/>
      <c r="C160" s="21">
        <v>5331</v>
      </c>
      <c r="D160" s="21"/>
      <c r="E160" s="21">
        <v>4132</v>
      </c>
      <c r="F160" s="63">
        <f>SUM(F161:F165)</f>
        <v>5604100</v>
      </c>
      <c r="H160" s="8"/>
    </row>
    <row r="161" spans="1:7" x14ac:dyDescent="0.3">
      <c r="A161" s="64" t="s">
        <v>110</v>
      </c>
      <c r="B161" s="19"/>
      <c r="C161" s="19">
        <v>5331</v>
      </c>
      <c r="D161" s="19"/>
      <c r="E161" s="19"/>
      <c r="F161" s="65">
        <v>4552000</v>
      </c>
    </row>
    <row r="162" spans="1:7" x14ac:dyDescent="0.3">
      <c r="A162" s="64" t="s">
        <v>111</v>
      </c>
      <c r="B162" s="19"/>
      <c r="C162" s="19">
        <v>5331</v>
      </c>
      <c r="D162" s="19"/>
      <c r="E162" s="19"/>
      <c r="F162" s="65">
        <v>569000</v>
      </c>
    </row>
    <row r="163" spans="1:7" x14ac:dyDescent="0.3">
      <c r="A163" s="138" t="s">
        <v>112</v>
      </c>
      <c r="B163" s="117"/>
      <c r="C163" s="117">
        <v>6351</v>
      </c>
      <c r="D163" s="117"/>
      <c r="E163" s="117"/>
      <c r="F163" s="136">
        <v>133100</v>
      </c>
    </row>
    <row r="164" spans="1:7" x14ac:dyDescent="0.3">
      <c r="A164" s="64" t="s">
        <v>113</v>
      </c>
      <c r="B164" s="19"/>
      <c r="C164" s="19">
        <v>5331</v>
      </c>
      <c r="D164" s="19"/>
      <c r="E164" s="19"/>
      <c r="F164" s="65">
        <v>100000</v>
      </c>
    </row>
    <row r="165" spans="1:7" x14ac:dyDescent="0.3">
      <c r="A165" s="57" t="s">
        <v>114</v>
      </c>
      <c r="B165" s="25"/>
      <c r="C165" s="25">
        <v>5331</v>
      </c>
      <c r="D165" s="25"/>
      <c r="E165" s="25"/>
      <c r="F165" s="59">
        <v>250000</v>
      </c>
    </row>
    <row r="166" spans="1:7" x14ac:dyDescent="0.3">
      <c r="A166" s="62" t="s">
        <v>115</v>
      </c>
      <c r="B166" s="21"/>
      <c r="C166" s="21">
        <v>5331</v>
      </c>
      <c r="D166" s="21"/>
      <c r="E166" s="21">
        <v>4133</v>
      </c>
      <c r="F166" s="63">
        <f>SUM(F167:F168)</f>
        <v>3670000</v>
      </c>
    </row>
    <row r="167" spans="1:7" x14ac:dyDescent="0.3">
      <c r="A167" s="64" t="s">
        <v>110</v>
      </c>
      <c r="B167" s="19"/>
      <c r="C167" s="19">
        <v>5331</v>
      </c>
      <c r="D167" s="19"/>
      <c r="E167" s="19"/>
      <c r="F167" s="65">
        <v>3250000</v>
      </c>
    </row>
    <row r="168" spans="1:7" x14ac:dyDescent="0.3">
      <c r="A168" s="57" t="s">
        <v>111</v>
      </c>
      <c r="B168" s="25"/>
      <c r="C168" s="25">
        <v>5331</v>
      </c>
      <c r="D168" s="25"/>
      <c r="E168" s="25"/>
      <c r="F168" s="59">
        <v>420000</v>
      </c>
    </row>
    <row r="169" spans="1:7" x14ac:dyDescent="0.3">
      <c r="A169" s="62" t="s">
        <v>84</v>
      </c>
      <c r="B169" s="21"/>
      <c r="C169" s="21">
        <v>5331</v>
      </c>
      <c r="D169" s="21"/>
      <c r="E169" s="21">
        <v>4131</v>
      </c>
      <c r="F169" s="63">
        <f>SUM(F170:F173)</f>
        <v>4779000</v>
      </c>
    </row>
    <row r="170" spans="1:7" x14ac:dyDescent="0.3">
      <c r="A170" s="64" t="s">
        <v>110</v>
      </c>
      <c r="B170" s="19"/>
      <c r="C170" s="19">
        <v>5331</v>
      </c>
      <c r="D170" s="19"/>
      <c r="E170" s="19"/>
      <c r="F170" s="65">
        <v>3878000</v>
      </c>
    </row>
    <row r="171" spans="1:7" x14ac:dyDescent="0.3">
      <c r="A171" s="64" t="s">
        <v>111</v>
      </c>
      <c r="B171" s="19"/>
      <c r="C171" s="19">
        <v>5331</v>
      </c>
      <c r="D171" s="19"/>
      <c r="E171" s="19"/>
      <c r="F171" s="65">
        <v>581000</v>
      </c>
      <c r="G171" s="1"/>
    </row>
    <row r="172" spans="1:7" x14ac:dyDescent="0.3">
      <c r="A172" s="64" t="s">
        <v>113</v>
      </c>
      <c r="B172" s="19"/>
      <c r="C172" s="19">
        <v>5331</v>
      </c>
      <c r="D172" s="19"/>
      <c r="E172" s="19"/>
      <c r="F172" s="65">
        <v>120000</v>
      </c>
      <c r="G172" s="1"/>
    </row>
    <row r="173" spans="1:7" x14ac:dyDescent="0.3">
      <c r="A173" s="57" t="s">
        <v>114</v>
      </c>
      <c r="B173" s="25"/>
      <c r="C173" s="25">
        <v>5331</v>
      </c>
      <c r="D173" s="25"/>
      <c r="E173" s="25"/>
      <c r="F173" s="59">
        <v>200000</v>
      </c>
      <c r="G173" s="1"/>
    </row>
    <row r="174" spans="1:7" x14ac:dyDescent="0.3">
      <c r="A174" s="62" t="s">
        <v>85</v>
      </c>
      <c r="B174" s="21"/>
      <c r="C174" s="21">
        <v>5331</v>
      </c>
      <c r="D174" s="21"/>
      <c r="E174" s="21">
        <v>4171</v>
      </c>
      <c r="F174" s="63">
        <f>SUM(F175:F177)</f>
        <v>4689000</v>
      </c>
      <c r="G174" s="1"/>
    </row>
    <row r="175" spans="1:7" x14ac:dyDescent="0.3">
      <c r="A175" s="64" t="s">
        <v>110</v>
      </c>
      <c r="B175" s="19"/>
      <c r="C175" s="19">
        <v>5331</v>
      </c>
      <c r="D175" s="19"/>
      <c r="E175" s="19"/>
      <c r="F175" s="65">
        <v>2290000</v>
      </c>
      <c r="G175" s="1"/>
    </row>
    <row r="176" spans="1:7" x14ac:dyDescent="0.3">
      <c r="A176" s="64" t="s">
        <v>111</v>
      </c>
      <c r="B176" s="19"/>
      <c r="C176" s="19">
        <v>5331</v>
      </c>
      <c r="D176" s="19"/>
      <c r="E176" s="19"/>
      <c r="F176" s="65">
        <v>391000</v>
      </c>
      <c r="G176" s="1"/>
    </row>
    <row r="177" spans="1:7" x14ac:dyDescent="0.3">
      <c r="A177" s="57" t="s">
        <v>113</v>
      </c>
      <c r="B177" s="25"/>
      <c r="C177" s="25">
        <v>5331</v>
      </c>
      <c r="D177" s="25"/>
      <c r="E177" s="25"/>
      <c r="F177" s="59">
        <v>2008000</v>
      </c>
      <c r="G177" s="1"/>
    </row>
    <row r="178" spans="1:7" x14ac:dyDescent="0.3">
      <c r="A178" s="62" t="s">
        <v>116</v>
      </c>
      <c r="B178" s="21"/>
      <c r="C178" s="21">
        <v>5331</v>
      </c>
      <c r="D178" s="21"/>
      <c r="E178" s="21">
        <v>4111</v>
      </c>
      <c r="F178" s="63">
        <f>SUM(F179:F181)</f>
        <v>6552000</v>
      </c>
      <c r="G178" s="1"/>
    </row>
    <row r="179" spans="1:7" x14ac:dyDescent="0.3">
      <c r="A179" s="64" t="s">
        <v>110</v>
      </c>
      <c r="B179" s="19"/>
      <c r="C179" s="19">
        <v>5331</v>
      </c>
      <c r="D179" s="19"/>
      <c r="E179" s="19"/>
      <c r="F179" s="65">
        <v>3252000</v>
      </c>
      <c r="G179" s="1"/>
    </row>
    <row r="180" spans="1:7" x14ac:dyDescent="0.3">
      <c r="A180" s="64" t="s">
        <v>111</v>
      </c>
      <c r="B180" s="19"/>
      <c r="C180" s="19">
        <v>5331</v>
      </c>
      <c r="D180" s="19"/>
      <c r="E180" s="19"/>
      <c r="F180" s="65">
        <v>650000</v>
      </c>
      <c r="G180" s="1"/>
    </row>
    <row r="181" spans="1:7" x14ac:dyDescent="0.3">
      <c r="A181" s="57" t="s">
        <v>113</v>
      </c>
      <c r="B181" s="25"/>
      <c r="C181" s="25">
        <v>5331</v>
      </c>
      <c r="D181" s="25"/>
      <c r="E181" s="25"/>
      <c r="F181" s="59">
        <v>2650000</v>
      </c>
      <c r="G181" s="1"/>
    </row>
    <row r="182" spans="1:7" x14ac:dyDescent="0.3">
      <c r="A182" s="62" t="s">
        <v>117</v>
      </c>
      <c r="B182" s="21"/>
      <c r="C182" s="21">
        <v>5331</v>
      </c>
      <c r="D182" s="21"/>
      <c r="E182" s="21">
        <v>4112</v>
      </c>
      <c r="F182" s="63">
        <f>SUM(F183:F184)</f>
        <v>1598000</v>
      </c>
      <c r="G182" s="1"/>
    </row>
    <row r="183" spans="1:7" x14ac:dyDescent="0.3">
      <c r="A183" s="64" t="s">
        <v>110</v>
      </c>
      <c r="B183" s="19"/>
      <c r="C183" s="19">
        <v>5331</v>
      </c>
      <c r="D183" s="19"/>
      <c r="E183" s="19"/>
      <c r="F183" s="65">
        <v>1368000</v>
      </c>
      <c r="G183" s="1"/>
    </row>
    <row r="184" spans="1:7" x14ac:dyDescent="0.3">
      <c r="A184" s="57" t="s">
        <v>111</v>
      </c>
      <c r="B184" s="25"/>
      <c r="C184" s="25">
        <v>5331</v>
      </c>
      <c r="D184" s="25"/>
      <c r="E184" s="25"/>
      <c r="F184" s="59">
        <v>230000</v>
      </c>
      <c r="G184" s="1"/>
    </row>
    <row r="185" spans="1:7" x14ac:dyDescent="0.3">
      <c r="A185" s="62" t="s">
        <v>118</v>
      </c>
      <c r="B185" s="21"/>
      <c r="C185" s="21">
        <v>5331</v>
      </c>
      <c r="D185" s="21"/>
      <c r="E185" s="21">
        <v>4211</v>
      </c>
      <c r="F185" s="63">
        <f>SUM(F186:F187)</f>
        <v>529000</v>
      </c>
      <c r="G185" s="1"/>
    </row>
    <row r="186" spans="1:7" x14ac:dyDescent="0.3">
      <c r="A186" s="64" t="s">
        <v>110</v>
      </c>
      <c r="B186" s="19"/>
      <c r="C186" s="19">
        <v>5331</v>
      </c>
      <c r="D186" s="19"/>
      <c r="E186" s="19"/>
      <c r="F186" s="65">
        <v>209000</v>
      </c>
      <c r="G186" s="1"/>
    </row>
    <row r="187" spans="1:7" x14ac:dyDescent="0.3">
      <c r="A187" s="57" t="s">
        <v>114</v>
      </c>
      <c r="B187" s="25"/>
      <c r="C187" s="25">
        <v>5331</v>
      </c>
      <c r="D187" s="25"/>
      <c r="E187" s="25"/>
      <c r="F187" s="59">
        <f>5000+30000+285000</f>
        <v>320000</v>
      </c>
      <c r="G187" s="1"/>
    </row>
    <row r="188" spans="1:7" x14ac:dyDescent="0.3">
      <c r="A188" s="62" t="s">
        <v>119</v>
      </c>
      <c r="B188" s="21"/>
      <c r="C188" s="21">
        <v>5331</v>
      </c>
      <c r="D188" s="21"/>
      <c r="E188" s="21">
        <v>6143</v>
      </c>
      <c r="F188" s="63">
        <f>SUM(F189:F191)</f>
        <v>5256600</v>
      </c>
      <c r="G188" s="1"/>
    </row>
    <row r="189" spans="1:7" x14ac:dyDescent="0.3">
      <c r="A189" s="64" t="s">
        <v>110</v>
      </c>
      <c r="B189" s="19"/>
      <c r="C189" s="19">
        <v>5331</v>
      </c>
      <c r="D189" s="19"/>
      <c r="E189" s="19"/>
      <c r="F189" s="65">
        <v>774000</v>
      </c>
      <c r="G189" s="1"/>
    </row>
    <row r="190" spans="1:7" x14ac:dyDescent="0.3">
      <c r="A190" s="64" t="s">
        <v>113</v>
      </c>
      <c r="B190" s="19"/>
      <c r="C190" s="19">
        <v>5331</v>
      </c>
      <c r="D190" s="19"/>
      <c r="E190" s="19"/>
      <c r="F190" s="65">
        <f>4220000+112600</f>
        <v>4332600</v>
      </c>
      <c r="G190" s="1"/>
    </row>
    <row r="191" spans="1:7" x14ac:dyDescent="0.3">
      <c r="A191" s="57" t="s">
        <v>114</v>
      </c>
      <c r="B191" s="25"/>
      <c r="C191" s="25">
        <v>5331</v>
      </c>
      <c r="D191" s="25"/>
      <c r="E191" s="25"/>
      <c r="F191" s="59">
        <v>150000</v>
      </c>
      <c r="G191" s="1"/>
    </row>
    <row r="192" spans="1:7" x14ac:dyDescent="0.3">
      <c r="A192" s="62" t="s">
        <v>120</v>
      </c>
      <c r="B192" s="21"/>
      <c r="C192" s="21">
        <v>5331</v>
      </c>
      <c r="D192" s="21"/>
      <c r="E192" s="21">
        <v>6142</v>
      </c>
      <c r="F192" s="63">
        <f>F193+F196+F195</f>
        <v>5428000</v>
      </c>
      <c r="G192" s="1"/>
    </row>
    <row r="193" spans="1:9" x14ac:dyDescent="0.3">
      <c r="A193" s="64" t="s">
        <v>110</v>
      </c>
      <c r="B193" s="19"/>
      <c r="C193" s="19">
        <v>5331</v>
      </c>
      <c r="D193" s="19"/>
      <c r="E193" s="19"/>
      <c r="F193" s="65">
        <v>5308000</v>
      </c>
      <c r="G193" s="1"/>
    </row>
    <row r="194" spans="1:9" x14ac:dyDescent="0.3">
      <c r="A194" s="66" t="s">
        <v>121</v>
      </c>
      <c r="B194" s="19"/>
      <c r="C194" s="19"/>
      <c r="D194" s="19"/>
      <c r="E194" s="19"/>
      <c r="F194" s="65">
        <v>4268000</v>
      </c>
      <c r="G194" s="1"/>
    </row>
    <row r="195" spans="1:9" x14ac:dyDescent="0.3">
      <c r="A195" s="166" t="s">
        <v>367</v>
      </c>
      <c r="B195" s="167"/>
      <c r="C195" s="167">
        <v>5331</v>
      </c>
      <c r="D195" s="167"/>
      <c r="E195" s="167"/>
      <c r="F195" s="168">
        <v>30000</v>
      </c>
      <c r="G195" s="1"/>
    </row>
    <row r="196" spans="1:9" x14ac:dyDescent="0.3">
      <c r="A196" s="57" t="s">
        <v>114</v>
      </c>
      <c r="B196" s="25"/>
      <c r="C196" s="25">
        <v>5331</v>
      </c>
      <c r="D196" s="25"/>
      <c r="E196" s="25"/>
      <c r="F196" s="59">
        <v>90000</v>
      </c>
      <c r="G196" s="1"/>
    </row>
    <row r="197" spans="1:9" x14ac:dyDescent="0.3">
      <c r="A197" s="62" t="s">
        <v>87</v>
      </c>
      <c r="B197" s="21"/>
      <c r="C197" s="21">
        <v>5331</v>
      </c>
      <c r="D197" s="21"/>
      <c r="E197" s="21">
        <v>1031</v>
      </c>
      <c r="F197" s="63">
        <f>F198+F200</f>
        <v>5511000</v>
      </c>
      <c r="G197" s="1"/>
    </row>
    <row r="198" spans="1:9" x14ac:dyDescent="0.3">
      <c r="A198" s="64" t="s">
        <v>110</v>
      </c>
      <c r="B198" s="19"/>
      <c r="C198" s="19">
        <v>5331</v>
      </c>
      <c r="D198" s="19"/>
      <c r="E198" s="19"/>
      <c r="F198" s="65">
        <v>5481000</v>
      </c>
      <c r="G198" s="1"/>
    </row>
    <row r="199" spans="1:9" x14ac:dyDescent="0.3">
      <c r="A199" s="66" t="s">
        <v>121</v>
      </c>
      <c r="B199" s="19"/>
      <c r="C199" s="19"/>
      <c r="D199" s="19"/>
      <c r="E199" s="19"/>
      <c r="F199" s="65">
        <v>3110000</v>
      </c>
      <c r="G199" s="1"/>
    </row>
    <row r="200" spans="1:9" x14ac:dyDescent="0.3">
      <c r="A200" s="57" t="s">
        <v>114</v>
      </c>
      <c r="B200" s="25"/>
      <c r="C200" s="25">
        <v>5331</v>
      </c>
      <c r="D200" s="25"/>
      <c r="E200" s="25"/>
      <c r="F200" s="59">
        <v>30000</v>
      </c>
      <c r="G200" s="1"/>
    </row>
    <row r="201" spans="1:9" ht="15.75" customHeight="1" x14ac:dyDescent="0.3">
      <c r="A201" s="67" t="s">
        <v>122</v>
      </c>
      <c r="B201" s="68"/>
      <c r="C201" s="68">
        <v>5331</v>
      </c>
      <c r="D201" s="68"/>
      <c r="E201" s="68"/>
      <c r="F201" s="69">
        <f>SUM(F197,F192,F188,F185,F182,F178,F174,F169,F166,F160)</f>
        <v>43616700</v>
      </c>
      <c r="G201" s="1"/>
    </row>
    <row r="203" spans="1:9" x14ac:dyDescent="0.3">
      <c r="A203" s="17" t="s">
        <v>123</v>
      </c>
      <c r="B203" s="17"/>
      <c r="C203" s="17"/>
      <c r="D203" s="17"/>
      <c r="E203" s="17"/>
      <c r="F203" s="17"/>
      <c r="G203" s="1"/>
    </row>
    <row r="204" spans="1:9" x14ac:dyDescent="0.3">
      <c r="A204" s="78" t="s">
        <v>124</v>
      </c>
      <c r="B204" s="21"/>
      <c r="C204" s="21">
        <v>4139</v>
      </c>
      <c r="D204" s="21"/>
      <c r="E204" s="21"/>
      <c r="F204" s="79">
        <f>F8</f>
        <v>3083000</v>
      </c>
      <c r="G204" s="42"/>
      <c r="H204" s="108"/>
    </row>
    <row r="205" spans="1:9" x14ac:dyDescent="0.3">
      <c r="A205" s="64" t="s">
        <v>125</v>
      </c>
      <c r="B205" s="19"/>
      <c r="C205" s="19">
        <v>2460</v>
      </c>
      <c r="D205" s="19"/>
      <c r="E205" s="19"/>
      <c r="F205" s="65">
        <v>0</v>
      </c>
      <c r="G205" s="106">
        <f>75000-71000</f>
        <v>4000</v>
      </c>
      <c r="H205" s="59">
        <f>F205+G205</f>
        <v>4000</v>
      </c>
    </row>
    <row r="206" spans="1:9" ht="15.75" customHeight="1" x14ac:dyDescent="0.3">
      <c r="A206" s="67" t="s">
        <v>126</v>
      </c>
      <c r="B206" s="68"/>
      <c r="C206" s="68" t="s">
        <v>15</v>
      </c>
      <c r="D206" s="68"/>
      <c r="E206" s="68"/>
      <c r="F206" s="69">
        <f>F204</f>
        <v>3083000</v>
      </c>
      <c r="G206" s="1"/>
    </row>
    <row r="208" spans="1:9" x14ac:dyDescent="0.3">
      <c r="A208" s="1" t="s">
        <v>127</v>
      </c>
      <c r="F208" s="8">
        <f>H152+F204</f>
        <v>197536900</v>
      </c>
      <c r="H208" s="8"/>
      <c r="I208" s="8"/>
    </row>
    <row r="209" spans="1:10" x14ac:dyDescent="0.3">
      <c r="A209" s="1" t="s">
        <v>128</v>
      </c>
      <c r="F209" s="8">
        <f>H152-SUM(F113,F114,G116:G147)</f>
        <v>47175200</v>
      </c>
      <c r="H209" s="8"/>
      <c r="I209" s="8"/>
    </row>
    <row r="210" spans="1:10" x14ac:dyDescent="0.3">
      <c r="H210" s="8"/>
    </row>
    <row r="211" spans="1:10" x14ac:dyDescent="0.3">
      <c r="A211" s="1" t="s">
        <v>129</v>
      </c>
      <c r="F211" s="8">
        <f>F206+H90+H153</f>
        <v>321088300</v>
      </c>
      <c r="H211" s="8"/>
      <c r="I211" s="8"/>
      <c r="J211" s="8"/>
    </row>
    <row r="212" spans="1:10" ht="15.75" customHeight="1" x14ac:dyDescent="0.3">
      <c r="A212" s="67" t="s">
        <v>130</v>
      </c>
      <c r="B212" s="68"/>
      <c r="C212" s="68"/>
      <c r="D212" s="68"/>
      <c r="E212" s="68"/>
      <c r="F212" s="69">
        <f>H90+H153-G6</f>
        <v>317992900</v>
      </c>
      <c r="G212" s="1"/>
    </row>
    <row r="213" spans="1:10" x14ac:dyDescent="0.3">
      <c r="H213" s="8"/>
    </row>
    <row r="214" spans="1:10" x14ac:dyDescent="0.3">
      <c r="A214" s="1" t="s">
        <v>131</v>
      </c>
      <c r="F214" s="8">
        <f>F208-F211</f>
        <v>-123551400</v>
      </c>
    </row>
    <row r="215" spans="1:10" x14ac:dyDescent="0.3">
      <c r="F215" s="8"/>
    </row>
  </sheetData>
  <printOptions horizontalCentered="1"/>
  <pageMargins left="0.11811023622047245" right="0.11811023622047245" top="0.78740157480314965" bottom="0.78740157480314965" header="0.31496062992125984" footer="0.31496062992125984"/>
  <pageSetup paperSize="8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79"/>
  <sheetViews>
    <sheetView topLeftCell="D1" zoomScaleNormal="100" workbookViewId="0">
      <pane ySplit="3" topLeftCell="A4" activePane="bottomLeft" state="frozen"/>
      <selection activeCell="D1" sqref="D1"/>
      <selection pane="bottomLeft" activeCell="L73" sqref="L73"/>
    </sheetView>
  </sheetViews>
  <sheetFormatPr defaultColWidth="27" defaultRowHeight="14.4" x14ac:dyDescent="0.3"/>
  <cols>
    <col min="1" max="1" width="9.109375" style="1" hidden="1" customWidth="1"/>
    <col min="2" max="2" width="7.6640625" style="1" hidden="1" customWidth="1"/>
    <col min="3" max="3" width="11.44140625" style="1" hidden="1" customWidth="1"/>
    <col min="4" max="4" width="11.44140625" style="1" customWidth="1"/>
    <col min="5" max="5" width="35.88671875" style="1" bestFit="1" customWidth="1"/>
    <col min="6" max="6" width="51.88671875" style="1" customWidth="1"/>
    <col min="7" max="7" width="16.44140625" style="1" hidden="1" customWidth="1"/>
    <col min="8" max="8" width="14.5546875" style="1" hidden="1" customWidth="1"/>
    <col min="9" max="9" width="14.5546875" style="83" customWidth="1"/>
    <col min="10" max="10" width="15.6640625" style="1" customWidth="1"/>
    <col min="11" max="11" width="14.5546875" style="83" customWidth="1"/>
    <col min="12" max="12" width="15.6640625" style="1" customWidth="1"/>
    <col min="13" max="16384" width="27" style="1"/>
  </cols>
  <sheetData>
    <row r="2" spans="1:13" ht="23.4" x14ac:dyDescent="0.45">
      <c r="A2" s="56" t="s">
        <v>132</v>
      </c>
      <c r="E2" s="17" t="s">
        <v>133</v>
      </c>
    </row>
    <row r="3" spans="1:13" ht="55.5" customHeight="1" x14ac:dyDescent="0.3">
      <c r="A3" s="55" t="s">
        <v>134</v>
      </c>
      <c r="B3" s="55" t="s">
        <v>135</v>
      </c>
      <c r="C3" s="55" t="s">
        <v>136</v>
      </c>
      <c r="D3" s="55"/>
      <c r="E3" s="55" t="s">
        <v>137</v>
      </c>
      <c r="F3" s="55" t="s">
        <v>138</v>
      </c>
      <c r="G3" s="54" t="s">
        <v>139</v>
      </c>
      <c r="H3" s="54" t="s">
        <v>140</v>
      </c>
      <c r="I3" s="82" t="s">
        <v>141</v>
      </c>
      <c r="J3" s="54" t="s">
        <v>142</v>
      </c>
      <c r="K3" s="82" t="s">
        <v>143</v>
      </c>
      <c r="L3" s="54" t="s">
        <v>144</v>
      </c>
    </row>
    <row r="4" spans="1:13" x14ac:dyDescent="0.3">
      <c r="A4" s="44">
        <v>2212</v>
      </c>
      <c r="B4" s="44">
        <v>6122</v>
      </c>
      <c r="C4" s="44" t="s">
        <v>145</v>
      </c>
      <c r="D4" s="44" t="s">
        <v>105</v>
      </c>
      <c r="E4" s="46" t="s">
        <v>146</v>
      </c>
      <c r="F4" s="46" t="s">
        <v>147</v>
      </c>
      <c r="G4" s="45">
        <v>7000000</v>
      </c>
      <c r="H4" s="45">
        <v>6957000</v>
      </c>
      <c r="I4" s="85">
        <v>80222000000</v>
      </c>
      <c r="J4" s="45">
        <v>6957000</v>
      </c>
      <c r="K4" s="85"/>
      <c r="L4" s="141">
        <f>6957000-6957000</f>
        <v>0</v>
      </c>
      <c r="M4" s="146" t="s">
        <v>250</v>
      </c>
    </row>
    <row r="5" spans="1:13" x14ac:dyDescent="0.3">
      <c r="A5" s="44">
        <v>2219</v>
      </c>
      <c r="B5" s="44">
        <v>6121</v>
      </c>
      <c r="C5" s="44" t="s">
        <v>145</v>
      </c>
      <c r="D5" s="44" t="s">
        <v>105</v>
      </c>
      <c r="E5" s="46" t="s">
        <v>148</v>
      </c>
      <c r="F5" s="46" t="s">
        <v>147</v>
      </c>
      <c r="G5" s="45">
        <v>5000000</v>
      </c>
      <c r="H5" s="45">
        <v>4967900</v>
      </c>
      <c r="I5" s="85">
        <v>80221000000</v>
      </c>
      <c r="J5" s="45">
        <v>4967900</v>
      </c>
      <c r="K5" s="85"/>
      <c r="L5" s="141">
        <f>4967800-4967900</f>
        <v>-100</v>
      </c>
      <c r="M5" s="146" t="s">
        <v>250</v>
      </c>
    </row>
    <row r="6" spans="1:13" x14ac:dyDescent="0.3">
      <c r="A6" s="44">
        <v>3111</v>
      </c>
      <c r="B6" s="44">
        <v>6121</v>
      </c>
      <c r="C6" s="44" t="s">
        <v>145</v>
      </c>
      <c r="D6" s="44" t="s">
        <v>105</v>
      </c>
      <c r="E6" s="44" t="s">
        <v>149</v>
      </c>
      <c r="F6" s="44" t="s">
        <v>150</v>
      </c>
      <c r="G6" s="47">
        <v>12500000</v>
      </c>
      <c r="H6" s="47">
        <v>9322200</v>
      </c>
      <c r="I6" s="84">
        <v>10259137541</v>
      </c>
      <c r="J6" s="47">
        <v>9322200</v>
      </c>
      <c r="K6" s="84"/>
      <c r="L6" s="47"/>
    </row>
    <row r="7" spans="1:13" x14ac:dyDescent="0.3">
      <c r="A7" s="44">
        <v>3111</v>
      </c>
      <c r="B7" s="44">
        <v>6121</v>
      </c>
      <c r="C7" s="44" t="s">
        <v>145</v>
      </c>
      <c r="D7" s="44" t="s">
        <v>105</v>
      </c>
      <c r="E7" s="44" t="s">
        <v>151</v>
      </c>
      <c r="F7" s="44" t="s">
        <v>152</v>
      </c>
      <c r="G7" s="47">
        <v>250000</v>
      </c>
      <c r="H7" s="47">
        <v>242500</v>
      </c>
      <c r="I7" s="84">
        <v>8861001502</v>
      </c>
      <c r="J7" s="47">
        <v>242500</v>
      </c>
      <c r="K7" s="84"/>
      <c r="L7" s="47"/>
    </row>
    <row r="8" spans="1:13" x14ac:dyDescent="0.3">
      <c r="A8" s="44">
        <v>3111</v>
      </c>
      <c r="B8" s="44">
        <v>6121</v>
      </c>
      <c r="C8" s="44" t="s">
        <v>145</v>
      </c>
      <c r="D8" s="44" t="s">
        <v>105</v>
      </c>
      <c r="E8" s="44" t="s">
        <v>153</v>
      </c>
      <c r="F8" s="44" t="s">
        <v>154</v>
      </c>
      <c r="G8" s="47">
        <v>2600000</v>
      </c>
      <c r="H8" s="47">
        <v>0</v>
      </c>
      <c r="I8" s="84">
        <v>162010</v>
      </c>
      <c r="J8" s="47">
        <v>2600000</v>
      </c>
      <c r="K8" s="84"/>
      <c r="L8" s="47"/>
    </row>
    <row r="9" spans="1:13" x14ac:dyDescent="0.3">
      <c r="A9" s="44">
        <v>3111</v>
      </c>
      <c r="B9" s="44">
        <v>6121</v>
      </c>
      <c r="C9" s="44" t="s">
        <v>145</v>
      </c>
      <c r="D9" s="44" t="s">
        <v>105</v>
      </c>
      <c r="E9" s="44" t="s">
        <v>155</v>
      </c>
      <c r="F9" s="49" t="s">
        <v>156</v>
      </c>
      <c r="G9" s="47">
        <v>3500000</v>
      </c>
      <c r="H9" s="47">
        <v>3495200</v>
      </c>
      <c r="I9" s="84">
        <v>154413</v>
      </c>
      <c r="J9" s="47">
        <v>3495200</v>
      </c>
      <c r="K9" s="84"/>
      <c r="L9" s="47"/>
    </row>
    <row r="10" spans="1:13" x14ac:dyDescent="0.3">
      <c r="A10" s="44">
        <v>3111</v>
      </c>
      <c r="B10" s="44">
        <v>6121</v>
      </c>
      <c r="C10" s="44" t="s">
        <v>145</v>
      </c>
      <c r="D10" s="44" t="s">
        <v>105</v>
      </c>
      <c r="E10" s="44" t="s">
        <v>157</v>
      </c>
      <c r="F10" s="44" t="s">
        <v>158</v>
      </c>
      <c r="G10" s="47">
        <v>19000000</v>
      </c>
      <c r="H10" s="47">
        <v>16599100</v>
      </c>
      <c r="I10" s="84">
        <v>151741</v>
      </c>
      <c r="J10" s="47">
        <v>16599100</v>
      </c>
      <c r="K10" s="84"/>
      <c r="L10" s="47"/>
    </row>
    <row r="11" spans="1:13" x14ac:dyDescent="0.3">
      <c r="A11" s="44">
        <v>3111</v>
      </c>
      <c r="B11" s="44">
        <v>6121</v>
      </c>
      <c r="C11" s="44" t="s">
        <v>145</v>
      </c>
      <c r="D11" s="44" t="s">
        <v>105</v>
      </c>
      <c r="E11" s="46" t="s">
        <v>159</v>
      </c>
      <c r="F11" s="46" t="s">
        <v>160</v>
      </c>
      <c r="G11" s="45">
        <v>300000</v>
      </c>
      <c r="H11" s="45">
        <v>0</v>
      </c>
      <c r="I11" s="85">
        <v>17702</v>
      </c>
      <c r="J11" s="45">
        <v>300000</v>
      </c>
      <c r="K11" s="85"/>
      <c r="L11" s="45"/>
    </row>
    <row r="12" spans="1:13" x14ac:dyDescent="0.3">
      <c r="A12" s="44"/>
      <c r="B12" s="44"/>
      <c r="C12" s="44"/>
      <c r="D12" s="139" t="s">
        <v>105</v>
      </c>
      <c r="E12" s="139" t="s">
        <v>159</v>
      </c>
      <c r="F12" s="139" t="s">
        <v>233</v>
      </c>
      <c r="G12" s="141">
        <v>450000</v>
      </c>
      <c r="H12" s="141">
        <v>0</v>
      </c>
      <c r="I12" s="142">
        <v>17701</v>
      </c>
      <c r="J12" s="141">
        <v>250000</v>
      </c>
      <c r="K12" s="142"/>
      <c r="L12" s="141">
        <v>200000</v>
      </c>
      <c r="M12" s="146" t="s">
        <v>234</v>
      </c>
    </row>
    <row r="13" spans="1:13" x14ac:dyDescent="0.3">
      <c r="A13" s="44">
        <v>3113</v>
      </c>
      <c r="B13" s="44">
        <v>6121</v>
      </c>
      <c r="C13" s="44" t="s">
        <v>145</v>
      </c>
      <c r="D13" s="44" t="s">
        <v>105</v>
      </c>
      <c r="E13" s="46" t="s">
        <v>161</v>
      </c>
      <c r="F13" s="46" t="s">
        <v>162</v>
      </c>
      <c r="G13" s="45">
        <v>0</v>
      </c>
      <c r="H13" s="45">
        <v>0</v>
      </c>
      <c r="I13" s="85">
        <v>17613</v>
      </c>
      <c r="J13" s="45">
        <v>1200000</v>
      </c>
      <c r="K13" s="85"/>
      <c r="L13" s="45">
        <f>-110400-400700</f>
        <v>-511100</v>
      </c>
      <c r="M13" s="1" t="s">
        <v>378</v>
      </c>
    </row>
    <row r="14" spans="1:13" x14ac:dyDescent="0.3">
      <c r="A14" s="44">
        <v>3113</v>
      </c>
      <c r="B14" s="44">
        <v>6121</v>
      </c>
      <c r="C14" s="44" t="s">
        <v>145</v>
      </c>
      <c r="D14" s="44" t="s">
        <v>105</v>
      </c>
      <c r="E14" s="46" t="s">
        <v>163</v>
      </c>
      <c r="F14" s="46" t="s">
        <v>164</v>
      </c>
      <c r="G14" s="45">
        <v>0</v>
      </c>
      <c r="H14" s="45">
        <v>0</v>
      </c>
      <c r="I14" s="85">
        <v>17612</v>
      </c>
      <c r="J14" s="45">
        <v>500000</v>
      </c>
      <c r="K14" s="85">
        <v>16014</v>
      </c>
      <c r="L14" s="141">
        <f>10000-900</f>
        <v>9100</v>
      </c>
      <c r="M14" s="1" t="s">
        <v>377</v>
      </c>
    </row>
    <row r="15" spans="1:13" x14ac:dyDescent="0.3">
      <c r="A15" s="44"/>
      <c r="B15" s="44"/>
      <c r="C15" s="44"/>
      <c r="D15" s="44" t="s">
        <v>105</v>
      </c>
      <c r="E15" s="46" t="s">
        <v>165</v>
      </c>
      <c r="F15" s="46" t="s">
        <v>166</v>
      </c>
      <c r="G15" s="45">
        <v>0</v>
      </c>
      <c r="H15" s="45">
        <v>0</v>
      </c>
      <c r="I15" s="85">
        <v>17611</v>
      </c>
      <c r="J15" s="45">
        <v>400000</v>
      </c>
      <c r="K15" s="85"/>
      <c r="L15" s="45"/>
    </row>
    <row r="16" spans="1:13" x14ac:dyDescent="0.3">
      <c r="A16" s="44">
        <v>3113</v>
      </c>
      <c r="B16" s="44">
        <v>6121</v>
      </c>
      <c r="C16" s="44" t="s">
        <v>145</v>
      </c>
      <c r="D16" s="44" t="s">
        <v>105</v>
      </c>
      <c r="E16" s="46" t="s">
        <v>167</v>
      </c>
      <c r="F16" s="46" t="s">
        <v>168</v>
      </c>
      <c r="G16" s="45">
        <v>2200000</v>
      </c>
      <c r="H16" s="45">
        <v>0</v>
      </c>
      <c r="I16" s="85">
        <v>17606</v>
      </c>
      <c r="J16" s="45">
        <v>2200000</v>
      </c>
      <c r="K16" s="85"/>
      <c r="L16" s="45">
        <f>30000-8400</f>
        <v>21600</v>
      </c>
      <c r="M16" s="1" t="s">
        <v>358</v>
      </c>
    </row>
    <row r="17" spans="1:13" x14ac:dyDescent="0.3">
      <c r="A17" s="44">
        <v>3113</v>
      </c>
      <c r="B17" s="44">
        <v>6121</v>
      </c>
      <c r="C17" s="44" t="s">
        <v>145</v>
      </c>
      <c r="D17" s="44" t="s">
        <v>105</v>
      </c>
      <c r="E17" s="46" t="s">
        <v>169</v>
      </c>
      <c r="F17" s="90" t="s">
        <v>170</v>
      </c>
      <c r="G17" s="45">
        <v>600000</v>
      </c>
      <c r="H17" s="45">
        <v>0</v>
      </c>
      <c r="I17" s="85">
        <v>17605</v>
      </c>
      <c r="J17" s="45">
        <v>600000</v>
      </c>
      <c r="K17" s="85"/>
      <c r="L17" s="45">
        <f>-85000</f>
        <v>-85000</v>
      </c>
    </row>
    <row r="18" spans="1:13" x14ac:dyDescent="0.3">
      <c r="A18" s="44">
        <v>3113</v>
      </c>
      <c r="B18" s="44">
        <v>6121</v>
      </c>
      <c r="C18" s="44" t="s">
        <v>145</v>
      </c>
      <c r="D18" s="44" t="s">
        <v>105</v>
      </c>
      <c r="E18" s="46" t="s">
        <v>159</v>
      </c>
      <c r="F18" s="46" t="s">
        <v>171</v>
      </c>
      <c r="G18" s="45">
        <v>300000</v>
      </c>
      <c r="H18" s="45">
        <v>0</v>
      </c>
      <c r="I18" s="85">
        <v>17604</v>
      </c>
      <c r="J18" s="45">
        <v>300000</v>
      </c>
      <c r="K18" s="85"/>
      <c r="L18" s="45"/>
    </row>
    <row r="19" spans="1:13" x14ac:dyDescent="0.3">
      <c r="A19" s="44">
        <v>3322</v>
      </c>
      <c r="B19" s="44">
        <v>6121</v>
      </c>
      <c r="C19" s="44" t="s">
        <v>145</v>
      </c>
      <c r="D19" s="44" t="s">
        <v>105</v>
      </c>
      <c r="E19" s="46" t="s">
        <v>172</v>
      </c>
      <c r="F19" s="46" t="s">
        <v>173</v>
      </c>
      <c r="G19" s="45">
        <v>250000</v>
      </c>
      <c r="H19" s="45">
        <v>250000</v>
      </c>
      <c r="I19" s="85">
        <v>17603</v>
      </c>
      <c r="J19" s="45">
        <v>250000</v>
      </c>
      <c r="K19" s="85">
        <v>80391001406</v>
      </c>
      <c r="L19" s="45"/>
      <c r="M19" s="1" t="s">
        <v>253</v>
      </c>
    </row>
    <row r="20" spans="1:13" x14ac:dyDescent="0.3">
      <c r="A20" s="44"/>
      <c r="B20" s="44"/>
      <c r="C20" s="44"/>
      <c r="D20" s="44" t="s">
        <v>105</v>
      </c>
      <c r="E20" s="46" t="s">
        <v>174</v>
      </c>
      <c r="F20" s="46" t="s">
        <v>175</v>
      </c>
      <c r="G20" s="45">
        <v>250000</v>
      </c>
      <c r="H20" s="45">
        <v>0</v>
      </c>
      <c r="I20" s="85">
        <v>17602</v>
      </c>
      <c r="J20" s="45">
        <v>250000</v>
      </c>
      <c r="K20" s="85"/>
      <c r="L20" s="45">
        <f>55000-4300</f>
        <v>50700</v>
      </c>
      <c r="M20" s="1" t="s">
        <v>358</v>
      </c>
    </row>
    <row r="21" spans="1:13" x14ac:dyDescent="0.3">
      <c r="A21" s="48">
        <v>3322</v>
      </c>
      <c r="B21" s="48">
        <v>6121</v>
      </c>
      <c r="C21" s="44" t="s">
        <v>145</v>
      </c>
      <c r="D21" s="44" t="s">
        <v>105</v>
      </c>
      <c r="E21" s="46" t="s">
        <v>176</v>
      </c>
      <c r="F21" s="46" t="s">
        <v>177</v>
      </c>
      <c r="G21" s="45">
        <v>200000</v>
      </c>
      <c r="H21" s="45">
        <v>0</v>
      </c>
      <c r="I21" s="85">
        <v>17601</v>
      </c>
      <c r="J21" s="45">
        <v>200000</v>
      </c>
      <c r="K21" s="85"/>
      <c r="L21" s="45">
        <v>200000</v>
      </c>
      <c r="M21" s="1" t="s">
        <v>382</v>
      </c>
    </row>
    <row r="22" spans="1:13" x14ac:dyDescent="0.3">
      <c r="A22" s="48"/>
      <c r="B22" s="48"/>
      <c r="C22" s="44"/>
      <c r="D22" s="170" t="s">
        <v>106</v>
      </c>
      <c r="E22" s="170" t="s">
        <v>172</v>
      </c>
      <c r="F22" s="170" t="s">
        <v>384</v>
      </c>
      <c r="G22" s="171"/>
      <c r="H22" s="171"/>
      <c r="I22" s="172">
        <v>17600</v>
      </c>
      <c r="J22" s="171"/>
      <c r="K22" s="172"/>
      <c r="L22" s="171">
        <v>80000</v>
      </c>
    </row>
    <row r="23" spans="1:13" x14ac:dyDescent="0.3">
      <c r="A23" s="44">
        <v>3421</v>
      </c>
      <c r="B23" s="44">
        <v>6121</v>
      </c>
      <c r="C23" s="44" t="s">
        <v>145</v>
      </c>
      <c r="D23" s="44" t="s">
        <v>105</v>
      </c>
      <c r="E23" s="46" t="s">
        <v>172</v>
      </c>
      <c r="F23" s="46" t="s">
        <v>178</v>
      </c>
      <c r="G23" s="45">
        <v>0</v>
      </c>
      <c r="H23" s="45">
        <v>0</v>
      </c>
      <c r="I23" s="85">
        <v>17505</v>
      </c>
      <c r="J23" s="45">
        <v>550000</v>
      </c>
      <c r="K23" s="85"/>
      <c r="L23" s="45"/>
    </row>
    <row r="24" spans="1:13" x14ac:dyDescent="0.3">
      <c r="A24" s="44">
        <v>3639</v>
      </c>
      <c r="B24" s="44">
        <v>6130</v>
      </c>
      <c r="C24" s="44" t="s">
        <v>145</v>
      </c>
      <c r="D24" s="44" t="s">
        <v>105</v>
      </c>
      <c r="E24" s="46"/>
      <c r="F24" s="46" t="s">
        <v>179</v>
      </c>
      <c r="G24" s="45">
        <v>0</v>
      </c>
      <c r="H24" s="45">
        <v>0</v>
      </c>
      <c r="I24" s="85">
        <v>17504</v>
      </c>
      <c r="J24" s="45">
        <v>200000</v>
      </c>
      <c r="K24" s="85"/>
      <c r="L24" s="141">
        <v>-200000</v>
      </c>
      <c r="M24" s="1" t="s">
        <v>256</v>
      </c>
    </row>
    <row r="25" spans="1:13" x14ac:dyDescent="0.3">
      <c r="A25" s="44">
        <v>3639</v>
      </c>
      <c r="B25" s="52">
        <v>6121</v>
      </c>
      <c r="C25" s="44" t="s">
        <v>145</v>
      </c>
      <c r="D25" s="44" t="s">
        <v>105</v>
      </c>
      <c r="E25" s="46"/>
      <c r="F25" s="46" t="s">
        <v>180</v>
      </c>
      <c r="G25" s="45">
        <v>150000</v>
      </c>
      <c r="H25" s="45">
        <v>150000</v>
      </c>
      <c r="I25" s="85">
        <v>17502</v>
      </c>
      <c r="J25" s="45">
        <v>150000</v>
      </c>
      <c r="K25" s="85"/>
      <c r="L25" s="45"/>
    </row>
    <row r="26" spans="1:13" x14ac:dyDescent="0.3">
      <c r="A26" s="44">
        <v>3639</v>
      </c>
      <c r="B26" s="52">
        <v>6121</v>
      </c>
      <c r="C26" s="44" t="s">
        <v>145</v>
      </c>
      <c r="D26" s="44" t="s">
        <v>105</v>
      </c>
      <c r="E26" s="46" t="s">
        <v>172</v>
      </c>
      <c r="F26" s="46" t="s">
        <v>373</v>
      </c>
      <c r="G26" s="45">
        <v>100000</v>
      </c>
      <c r="H26" s="45">
        <v>100000</v>
      </c>
      <c r="I26" s="85">
        <v>17501</v>
      </c>
      <c r="J26" s="45">
        <v>100000</v>
      </c>
      <c r="K26" s="85">
        <v>60</v>
      </c>
      <c r="L26" s="141">
        <f>200000+1740000</f>
        <v>1940000</v>
      </c>
      <c r="M26" s="1" t="s">
        <v>374</v>
      </c>
    </row>
    <row r="27" spans="1:13" x14ac:dyDescent="0.3">
      <c r="A27" s="44"/>
      <c r="B27" s="52"/>
      <c r="C27" s="44"/>
      <c r="D27" s="44" t="s">
        <v>105</v>
      </c>
      <c r="E27" s="46" t="s">
        <v>172</v>
      </c>
      <c r="F27" s="46" t="s">
        <v>375</v>
      </c>
      <c r="G27" s="45"/>
      <c r="H27" s="45"/>
      <c r="I27" s="85">
        <v>61</v>
      </c>
      <c r="J27" s="45"/>
      <c r="K27" s="85"/>
      <c r="L27" s="141">
        <v>240000</v>
      </c>
    </row>
    <row r="28" spans="1:13" x14ac:dyDescent="0.3">
      <c r="A28" s="44">
        <v>3639</v>
      </c>
      <c r="B28" s="52">
        <v>6121</v>
      </c>
      <c r="C28" s="44" t="s">
        <v>145</v>
      </c>
      <c r="D28" s="44" t="s">
        <v>105</v>
      </c>
      <c r="E28" s="44" t="s">
        <v>181</v>
      </c>
      <c r="F28" s="44" t="s">
        <v>182</v>
      </c>
      <c r="G28" s="47">
        <v>3000000</v>
      </c>
      <c r="H28" s="47">
        <v>0</v>
      </c>
      <c r="I28" s="84">
        <v>17280</v>
      </c>
      <c r="J28" s="47">
        <v>3000000</v>
      </c>
      <c r="K28" s="84"/>
      <c r="L28" s="47"/>
    </row>
    <row r="29" spans="1:13" x14ac:dyDescent="0.3">
      <c r="A29" s="44">
        <v>3639</v>
      </c>
      <c r="B29" s="44">
        <v>6121</v>
      </c>
      <c r="C29" s="44" t="s">
        <v>145</v>
      </c>
      <c r="D29" s="44" t="s">
        <v>105</v>
      </c>
      <c r="E29" s="44" t="s">
        <v>183</v>
      </c>
      <c r="F29" s="44" t="s">
        <v>184</v>
      </c>
      <c r="G29" s="47">
        <v>400000</v>
      </c>
      <c r="H29" s="47">
        <v>0</v>
      </c>
      <c r="I29" s="84">
        <v>17270</v>
      </c>
      <c r="J29" s="47">
        <v>400000</v>
      </c>
      <c r="K29" s="84"/>
      <c r="L29" s="47">
        <v>-9700</v>
      </c>
      <c r="M29" s="1" t="s">
        <v>357</v>
      </c>
    </row>
    <row r="30" spans="1:13" x14ac:dyDescent="0.3">
      <c r="A30" s="46">
        <v>3639</v>
      </c>
      <c r="B30" s="46">
        <v>6121</v>
      </c>
      <c r="C30" s="46" t="s">
        <v>145</v>
      </c>
      <c r="D30" s="44" t="s">
        <v>105</v>
      </c>
      <c r="E30" s="44" t="s">
        <v>185</v>
      </c>
      <c r="F30" s="44" t="s">
        <v>186</v>
      </c>
      <c r="G30" s="47">
        <v>300000</v>
      </c>
      <c r="H30" s="47">
        <v>0</v>
      </c>
      <c r="I30" s="84">
        <v>17260</v>
      </c>
      <c r="J30" s="47">
        <v>300000</v>
      </c>
      <c r="K30" s="84"/>
      <c r="L30" s="47">
        <v>96000</v>
      </c>
      <c r="M30" s="1" t="s">
        <v>302</v>
      </c>
    </row>
    <row r="31" spans="1:13" x14ac:dyDescent="0.3">
      <c r="A31" s="46">
        <v>6171</v>
      </c>
      <c r="B31" s="46">
        <v>6121</v>
      </c>
      <c r="C31" s="46" t="s">
        <v>145</v>
      </c>
      <c r="D31" s="44" t="s">
        <v>105</v>
      </c>
      <c r="E31" s="44" t="s">
        <v>84</v>
      </c>
      <c r="F31" s="51" t="s">
        <v>187</v>
      </c>
      <c r="G31" s="47">
        <v>3000000</v>
      </c>
      <c r="H31" s="47">
        <v>0</v>
      </c>
      <c r="I31" s="84">
        <v>17252</v>
      </c>
      <c r="J31" s="47">
        <v>3000000</v>
      </c>
      <c r="K31" s="84"/>
      <c r="L31" s="47"/>
    </row>
    <row r="32" spans="1:13" x14ac:dyDescent="0.3">
      <c r="A32" s="46"/>
      <c r="B32" s="46"/>
      <c r="C32" s="46"/>
      <c r="D32" s="44" t="s">
        <v>105</v>
      </c>
      <c r="E32" s="44" t="s">
        <v>84</v>
      </c>
      <c r="F32" s="44" t="s">
        <v>188</v>
      </c>
      <c r="G32" s="47">
        <v>0</v>
      </c>
      <c r="H32" s="47">
        <v>0</v>
      </c>
      <c r="I32" s="84">
        <v>17251</v>
      </c>
      <c r="J32" s="47">
        <v>350000</v>
      </c>
      <c r="K32" s="84"/>
      <c r="L32" s="47"/>
    </row>
    <row r="33" spans="1:13" x14ac:dyDescent="0.3">
      <c r="A33" s="50" t="s">
        <v>92</v>
      </c>
      <c r="B33" s="50" t="s">
        <v>105</v>
      </c>
      <c r="C33" s="46" t="s">
        <v>145</v>
      </c>
      <c r="D33" s="44" t="s">
        <v>105</v>
      </c>
      <c r="E33" s="53" t="s">
        <v>84</v>
      </c>
      <c r="F33" s="44" t="s">
        <v>189</v>
      </c>
      <c r="G33" s="47">
        <v>300000</v>
      </c>
      <c r="H33" s="47">
        <v>0</v>
      </c>
      <c r="I33" s="84">
        <v>17250</v>
      </c>
      <c r="J33" s="47">
        <v>300000</v>
      </c>
      <c r="K33" s="84"/>
      <c r="L33" s="47">
        <v>-49300</v>
      </c>
      <c r="M33" s="1" t="s">
        <v>376</v>
      </c>
    </row>
    <row r="34" spans="1:13" x14ac:dyDescent="0.3">
      <c r="A34" s="46">
        <v>3113</v>
      </c>
      <c r="B34" s="46">
        <v>6121</v>
      </c>
      <c r="C34" s="46" t="s">
        <v>145</v>
      </c>
      <c r="D34" s="139" t="s">
        <v>105</v>
      </c>
      <c r="E34" s="139" t="s">
        <v>109</v>
      </c>
      <c r="F34" s="140" t="s">
        <v>190</v>
      </c>
      <c r="G34" s="141">
        <v>200000</v>
      </c>
      <c r="H34" s="141">
        <v>0</v>
      </c>
      <c r="I34" s="142">
        <v>17240</v>
      </c>
      <c r="J34" s="141">
        <v>200000</v>
      </c>
      <c r="K34" s="142"/>
      <c r="L34" s="141">
        <f>-133100-66900</f>
        <v>-200000</v>
      </c>
      <c r="M34" s="1" t="s">
        <v>260</v>
      </c>
    </row>
    <row r="35" spans="1:13" x14ac:dyDescent="0.3">
      <c r="A35" s="46">
        <v>3639</v>
      </c>
      <c r="B35" s="46">
        <v>6119</v>
      </c>
      <c r="C35" s="46" t="s">
        <v>191</v>
      </c>
      <c r="D35" s="44" t="s">
        <v>105</v>
      </c>
      <c r="E35" s="44" t="s">
        <v>115</v>
      </c>
      <c r="F35" s="51" t="s">
        <v>192</v>
      </c>
      <c r="G35" s="47">
        <v>1000000</v>
      </c>
      <c r="H35" s="47">
        <v>0</v>
      </c>
      <c r="I35" s="84">
        <v>17233</v>
      </c>
      <c r="J35" s="47">
        <v>1000000</v>
      </c>
      <c r="K35" s="84"/>
      <c r="L35" s="47">
        <f>500000+1074800</f>
        <v>1574800</v>
      </c>
      <c r="M35" s="1" t="s">
        <v>302</v>
      </c>
    </row>
    <row r="36" spans="1:13" x14ac:dyDescent="0.3">
      <c r="A36" s="46">
        <v>2219</v>
      </c>
      <c r="B36" s="46">
        <v>6119</v>
      </c>
      <c r="C36" s="46" t="s">
        <v>193</v>
      </c>
      <c r="D36" s="44" t="s">
        <v>105</v>
      </c>
      <c r="E36" s="44" t="s">
        <v>115</v>
      </c>
      <c r="F36" s="44" t="s">
        <v>194</v>
      </c>
      <c r="G36" s="47">
        <v>500000</v>
      </c>
      <c r="H36" s="47">
        <v>0</v>
      </c>
      <c r="I36" s="84">
        <v>17232</v>
      </c>
      <c r="J36" s="47">
        <v>500000</v>
      </c>
      <c r="K36" s="84"/>
      <c r="L36" s="47">
        <v>-500000</v>
      </c>
    </row>
    <row r="37" spans="1:13" x14ac:dyDescent="0.3">
      <c r="A37" s="46">
        <v>3745</v>
      </c>
      <c r="B37" s="46">
        <v>6122</v>
      </c>
      <c r="C37" s="46" t="s">
        <v>167</v>
      </c>
      <c r="D37" s="44" t="s">
        <v>105</v>
      </c>
      <c r="E37" s="44" t="s">
        <v>115</v>
      </c>
      <c r="F37" s="51" t="s">
        <v>195</v>
      </c>
      <c r="G37" s="47">
        <v>0</v>
      </c>
      <c r="H37" s="47">
        <v>0</v>
      </c>
      <c r="I37" s="84">
        <v>17231</v>
      </c>
      <c r="J37" s="47">
        <v>400000</v>
      </c>
      <c r="K37" s="84"/>
      <c r="L37" s="47"/>
    </row>
    <row r="38" spans="1:13" x14ac:dyDescent="0.3">
      <c r="A38" s="46">
        <v>3632</v>
      </c>
      <c r="B38" s="46">
        <v>6121</v>
      </c>
      <c r="C38" s="46" t="s">
        <v>167</v>
      </c>
      <c r="D38" s="44" t="s">
        <v>105</v>
      </c>
      <c r="E38" s="44" t="s">
        <v>115</v>
      </c>
      <c r="F38" s="44" t="s">
        <v>196</v>
      </c>
      <c r="G38" s="47">
        <v>150000</v>
      </c>
      <c r="H38" s="47">
        <v>0</v>
      </c>
      <c r="I38" s="84">
        <v>17230</v>
      </c>
      <c r="J38" s="47">
        <v>150000</v>
      </c>
      <c r="K38" s="84"/>
      <c r="L38" s="47"/>
    </row>
    <row r="39" spans="1:13" x14ac:dyDescent="0.3">
      <c r="A39" s="46">
        <v>3639</v>
      </c>
      <c r="B39" s="46">
        <v>6121</v>
      </c>
      <c r="C39" s="46" t="s">
        <v>167</v>
      </c>
      <c r="D39" s="44" t="s">
        <v>105</v>
      </c>
      <c r="E39" s="53" t="s">
        <v>116</v>
      </c>
      <c r="F39" s="44" t="s">
        <v>197</v>
      </c>
      <c r="G39" s="47">
        <v>150000</v>
      </c>
      <c r="H39" s="47">
        <v>0</v>
      </c>
      <c r="I39" s="84">
        <v>17220</v>
      </c>
      <c r="J39" s="47">
        <v>150000</v>
      </c>
      <c r="K39" s="84"/>
      <c r="L39" s="47">
        <v>-68200</v>
      </c>
      <c r="M39" s="1" t="s">
        <v>357</v>
      </c>
    </row>
    <row r="40" spans="1:13" x14ac:dyDescent="0.3">
      <c r="A40" s="46"/>
      <c r="B40" s="46"/>
      <c r="C40" s="46"/>
      <c r="D40" s="44" t="s">
        <v>105</v>
      </c>
      <c r="E40" s="53" t="s">
        <v>198</v>
      </c>
      <c r="F40" s="44" t="s">
        <v>199</v>
      </c>
      <c r="G40" s="47">
        <v>80000</v>
      </c>
      <c r="H40" s="47">
        <v>0</v>
      </c>
      <c r="I40" s="84">
        <v>17210</v>
      </c>
      <c r="J40" s="47">
        <v>80000</v>
      </c>
      <c r="K40" s="84"/>
      <c r="L40" s="47"/>
    </row>
    <row r="41" spans="1:13" x14ac:dyDescent="0.3">
      <c r="A41" s="46"/>
      <c r="B41" s="46"/>
      <c r="C41" s="46"/>
      <c r="D41" s="44" t="s">
        <v>105</v>
      </c>
      <c r="E41" s="46" t="s">
        <v>200</v>
      </c>
      <c r="F41" s="46" t="s">
        <v>201</v>
      </c>
      <c r="G41" s="45">
        <v>15000000</v>
      </c>
      <c r="H41" s="45">
        <v>0</v>
      </c>
      <c r="I41" s="85">
        <v>17205</v>
      </c>
      <c r="J41" s="45">
        <v>15000000</v>
      </c>
      <c r="K41" s="85"/>
      <c r="L41" s="45"/>
    </row>
    <row r="42" spans="1:13" x14ac:dyDescent="0.3">
      <c r="A42" s="46">
        <v>3639</v>
      </c>
      <c r="B42" s="46">
        <v>6122</v>
      </c>
      <c r="C42" s="46" t="s">
        <v>167</v>
      </c>
      <c r="D42" s="44" t="s">
        <v>105</v>
      </c>
      <c r="E42" s="44" t="s">
        <v>202</v>
      </c>
      <c r="F42" s="44" t="s">
        <v>203</v>
      </c>
      <c r="G42" s="47">
        <v>6900000</v>
      </c>
      <c r="H42" s="47">
        <v>0</v>
      </c>
      <c r="I42" s="84">
        <v>17204</v>
      </c>
      <c r="J42" s="47">
        <v>6900000</v>
      </c>
      <c r="K42" s="84">
        <v>162008</v>
      </c>
      <c r="L42" s="47">
        <v>-6900000</v>
      </c>
    </row>
    <row r="43" spans="1:13" x14ac:dyDescent="0.3">
      <c r="A43" s="46"/>
      <c r="B43" s="46"/>
      <c r="C43" s="46"/>
      <c r="D43" s="44" t="s">
        <v>105</v>
      </c>
      <c r="E43" s="44" t="s">
        <v>314</v>
      </c>
      <c r="F43" s="44" t="s">
        <v>315</v>
      </c>
      <c r="G43" s="47"/>
      <c r="H43" s="47"/>
      <c r="I43" s="84">
        <v>17204</v>
      </c>
      <c r="J43" s="47">
        <v>0</v>
      </c>
      <c r="K43" s="84"/>
      <c r="L43" s="47">
        <v>6900000</v>
      </c>
    </row>
    <row r="44" spans="1:13" x14ac:dyDescent="0.3">
      <c r="A44" s="46">
        <v>6171</v>
      </c>
      <c r="B44" s="46" t="s">
        <v>105</v>
      </c>
      <c r="C44" s="46" t="s">
        <v>204</v>
      </c>
      <c r="D44" s="44" t="s">
        <v>105</v>
      </c>
      <c r="E44" s="46" t="s">
        <v>200</v>
      </c>
      <c r="F44" s="46" t="s">
        <v>205</v>
      </c>
      <c r="G44" s="45">
        <v>1800000</v>
      </c>
      <c r="H44" s="45">
        <v>0</v>
      </c>
      <c r="I44" s="85">
        <v>17203</v>
      </c>
      <c r="J44" s="45">
        <v>1800000</v>
      </c>
      <c r="K44" s="85"/>
      <c r="L44" s="45"/>
    </row>
    <row r="45" spans="1:13" x14ac:dyDescent="0.3">
      <c r="A45" s="46">
        <v>6171</v>
      </c>
      <c r="B45" s="46" t="s">
        <v>105</v>
      </c>
      <c r="C45" s="46" t="s">
        <v>204</v>
      </c>
      <c r="D45" s="44" t="s">
        <v>105</v>
      </c>
      <c r="E45" s="46" t="s">
        <v>172</v>
      </c>
      <c r="F45" s="46" t="s">
        <v>206</v>
      </c>
      <c r="G45" s="45">
        <v>1000000</v>
      </c>
      <c r="H45" s="45">
        <v>0</v>
      </c>
      <c r="I45" s="85">
        <v>17202</v>
      </c>
      <c r="J45" s="45">
        <v>1000000</v>
      </c>
      <c r="K45" s="85"/>
      <c r="L45" s="45"/>
    </row>
    <row r="46" spans="1:13" x14ac:dyDescent="0.3">
      <c r="A46" s="46">
        <v>6171</v>
      </c>
      <c r="B46" s="46" t="s">
        <v>105</v>
      </c>
      <c r="C46" s="46" t="s">
        <v>204</v>
      </c>
      <c r="D46" s="44" t="s">
        <v>105</v>
      </c>
      <c r="E46" s="46" t="s">
        <v>172</v>
      </c>
      <c r="F46" s="46" t="s">
        <v>207</v>
      </c>
      <c r="G46" s="45">
        <v>1000000</v>
      </c>
      <c r="H46" s="45">
        <v>0</v>
      </c>
      <c r="I46" s="85">
        <v>17201</v>
      </c>
      <c r="J46" s="45">
        <v>1000000</v>
      </c>
      <c r="K46" s="85"/>
      <c r="L46" s="45">
        <v>322000</v>
      </c>
      <c r="M46" s="1" t="s">
        <v>300</v>
      </c>
    </row>
    <row r="47" spans="1:13" x14ac:dyDescent="0.3">
      <c r="A47" s="43"/>
      <c r="B47" s="43"/>
      <c r="C47" s="43"/>
      <c r="D47" s="44" t="s">
        <v>105</v>
      </c>
      <c r="E47" s="43" t="s">
        <v>208</v>
      </c>
      <c r="F47" s="43" t="s">
        <v>209</v>
      </c>
      <c r="G47" s="42">
        <v>5000000</v>
      </c>
      <c r="H47" s="42">
        <v>0</v>
      </c>
      <c r="I47" s="86">
        <v>17124</v>
      </c>
      <c r="J47" s="42">
        <v>5000000</v>
      </c>
      <c r="K47" s="86"/>
      <c r="L47" s="42"/>
    </row>
    <row r="48" spans="1:13" x14ac:dyDescent="0.3">
      <c r="A48" s="43"/>
      <c r="B48" s="43"/>
      <c r="C48" s="43"/>
      <c r="D48" s="44" t="s">
        <v>105</v>
      </c>
      <c r="E48" s="88" t="s">
        <v>210</v>
      </c>
      <c r="F48" s="97" t="s">
        <v>211</v>
      </c>
      <c r="G48" s="91">
        <v>1000000</v>
      </c>
      <c r="H48" s="92">
        <v>0</v>
      </c>
      <c r="I48" s="94">
        <v>17123</v>
      </c>
      <c r="J48" s="92">
        <v>1000000</v>
      </c>
      <c r="K48" s="94"/>
      <c r="L48" s="92"/>
    </row>
    <row r="49" spans="1:13" x14ac:dyDescent="0.3">
      <c r="A49" s="43"/>
      <c r="B49" s="43"/>
      <c r="C49" s="43"/>
      <c r="D49" s="44" t="s">
        <v>105</v>
      </c>
      <c r="E49" s="43" t="s">
        <v>212</v>
      </c>
      <c r="F49" s="43" t="s">
        <v>213</v>
      </c>
      <c r="G49" s="42">
        <v>500000</v>
      </c>
      <c r="H49" s="42">
        <v>0</v>
      </c>
      <c r="I49" s="86">
        <v>17122</v>
      </c>
      <c r="J49" s="42">
        <v>600000</v>
      </c>
      <c r="K49" s="86"/>
      <c r="L49" s="42"/>
    </row>
    <row r="50" spans="1:13" x14ac:dyDescent="0.3">
      <c r="A50" s="43"/>
      <c r="B50" s="43"/>
      <c r="C50" s="43"/>
      <c r="D50" s="44" t="s">
        <v>105</v>
      </c>
      <c r="E50" s="43" t="s">
        <v>214</v>
      </c>
      <c r="F50" s="43" t="s">
        <v>213</v>
      </c>
      <c r="G50" s="42">
        <v>360000</v>
      </c>
      <c r="H50" s="42">
        <v>0</v>
      </c>
      <c r="I50" s="86">
        <v>17121</v>
      </c>
      <c r="J50" s="42">
        <v>360000</v>
      </c>
      <c r="K50" s="86"/>
      <c r="L50" s="42"/>
    </row>
    <row r="51" spans="1:13" x14ac:dyDescent="0.3">
      <c r="A51" s="43"/>
      <c r="B51" s="43"/>
      <c r="C51" s="43"/>
      <c r="D51" s="44" t="s">
        <v>105</v>
      </c>
      <c r="E51" s="43" t="s">
        <v>172</v>
      </c>
      <c r="F51" s="43" t="s">
        <v>215</v>
      </c>
      <c r="G51" s="42">
        <v>0</v>
      </c>
      <c r="H51" s="42">
        <v>0</v>
      </c>
      <c r="I51" s="86">
        <v>17000</v>
      </c>
      <c r="J51" s="42">
        <v>1000000</v>
      </c>
      <c r="K51" s="86"/>
      <c r="L51" s="42">
        <v>-1000000</v>
      </c>
      <c r="M51" s="1" t="s">
        <v>379</v>
      </c>
    </row>
    <row r="52" spans="1:13" x14ac:dyDescent="0.3">
      <c r="A52" s="43"/>
      <c r="B52" s="43"/>
      <c r="C52" s="43"/>
      <c r="D52" s="44" t="s">
        <v>105</v>
      </c>
      <c r="E52" s="43" t="s">
        <v>172</v>
      </c>
      <c r="F52" s="43" t="s">
        <v>216</v>
      </c>
      <c r="G52" s="42">
        <v>152200</v>
      </c>
      <c r="H52" s="42">
        <v>120700</v>
      </c>
      <c r="I52" s="86">
        <v>3035</v>
      </c>
      <c r="J52" s="42">
        <v>120700</v>
      </c>
      <c r="K52" s="86"/>
      <c r="L52" s="42">
        <v>450000</v>
      </c>
      <c r="M52" s="1" t="s">
        <v>379</v>
      </c>
    </row>
    <row r="53" spans="1:13" x14ac:dyDescent="0.3">
      <c r="A53" s="43"/>
      <c r="B53" s="43"/>
      <c r="C53" s="43"/>
      <c r="D53" s="169" t="s">
        <v>105</v>
      </c>
      <c r="E53" s="122" t="s">
        <v>172</v>
      </c>
      <c r="F53" s="122" t="s">
        <v>380</v>
      </c>
      <c r="G53" s="123"/>
      <c r="H53" s="123"/>
      <c r="I53" s="124">
        <v>17001</v>
      </c>
      <c r="J53" s="123"/>
      <c r="K53" s="124"/>
      <c r="L53" s="123">
        <v>250000</v>
      </c>
    </row>
    <row r="54" spans="1:13" x14ac:dyDescent="0.3">
      <c r="A54" s="43"/>
      <c r="B54" s="43"/>
      <c r="C54" s="43"/>
      <c r="D54" s="169" t="s">
        <v>105</v>
      </c>
      <c r="E54" s="122" t="s">
        <v>172</v>
      </c>
      <c r="F54" s="122" t="s">
        <v>381</v>
      </c>
      <c r="G54" s="123"/>
      <c r="H54" s="123"/>
      <c r="I54" s="124">
        <v>17002</v>
      </c>
      <c r="J54" s="123"/>
      <c r="K54" s="124"/>
      <c r="L54" s="123">
        <v>300000</v>
      </c>
    </row>
    <row r="55" spans="1:13" x14ac:dyDescent="0.3">
      <c r="A55" s="43"/>
      <c r="B55" s="43"/>
      <c r="C55" s="43"/>
      <c r="D55" s="44" t="s">
        <v>105</v>
      </c>
      <c r="E55" s="88" t="s">
        <v>172</v>
      </c>
      <c r="F55" s="88" t="s">
        <v>217</v>
      </c>
      <c r="G55" s="91">
        <v>5000000</v>
      </c>
      <c r="H55" s="91">
        <v>500000</v>
      </c>
      <c r="I55" s="93">
        <v>1720</v>
      </c>
      <c r="J55" s="91">
        <v>5000000</v>
      </c>
      <c r="K55" s="93"/>
      <c r="L55" s="91"/>
    </row>
    <row r="56" spans="1:13" x14ac:dyDescent="0.3">
      <c r="A56" s="43"/>
      <c r="B56" s="43"/>
      <c r="C56" s="43"/>
      <c r="D56" s="44" t="s">
        <v>105</v>
      </c>
      <c r="E56" s="88" t="s">
        <v>218</v>
      </c>
      <c r="F56" s="88" t="s">
        <v>219</v>
      </c>
      <c r="G56" s="91">
        <v>70000</v>
      </c>
      <c r="H56" s="91">
        <v>70000</v>
      </c>
      <c r="I56" s="93">
        <v>1715</v>
      </c>
      <c r="J56" s="91">
        <v>70000</v>
      </c>
      <c r="K56" s="93"/>
      <c r="L56" s="91"/>
    </row>
    <row r="57" spans="1:13" x14ac:dyDescent="0.3">
      <c r="A57" s="43"/>
      <c r="B57" s="43"/>
      <c r="C57" s="43"/>
      <c r="D57" s="44" t="s">
        <v>105</v>
      </c>
      <c r="E57" s="88" t="s">
        <v>220</v>
      </c>
      <c r="F57" s="88" t="s">
        <v>221</v>
      </c>
      <c r="G57" s="91">
        <v>847000</v>
      </c>
      <c r="H57" s="91">
        <v>847000</v>
      </c>
      <c r="I57" s="93">
        <v>1601</v>
      </c>
      <c r="J57" s="91">
        <v>847000</v>
      </c>
      <c r="K57" s="93"/>
      <c r="L57" s="91"/>
    </row>
    <row r="58" spans="1:13" x14ac:dyDescent="0.3">
      <c r="A58" s="43"/>
      <c r="B58" s="43"/>
      <c r="C58" s="43"/>
      <c r="D58" s="44" t="s">
        <v>105</v>
      </c>
      <c r="E58" s="88" t="s">
        <v>220</v>
      </c>
      <c r="F58" s="88" t="s">
        <v>222</v>
      </c>
      <c r="G58" s="91">
        <v>3668000</v>
      </c>
      <c r="H58" s="91">
        <v>3668000</v>
      </c>
      <c r="I58" s="93">
        <v>1401</v>
      </c>
      <c r="J58" s="91">
        <v>3668000</v>
      </c>
      <c r="K58" s="93"/>
      <c r="L58" s="91"/>
    </row>
    <row r="59" spans="1:13" x14ac:dyDescent="0.3">
      <c r="A59" s="43"/>
      <c r="B59" s="43"/>
      <c r="C59" s="43"/>
      <c r="D59" s="44" t="s">
        <v>105</v>
      </c>
      <c r="E59" s="89"/>
      <c r="F59" s="89" t="s">
        <v>223</v>
      </c>
      <c r="G59" s="92">
        <v>5000000</v>
      </c>
      <c r="H59" s="92">
        <v>4900000</v>
      </c>
      <c r="I59" s="94">
        <v>1106</v>
      </c>
      <c r="J59" s="92">
        <v>5000000</v>
      </c>
      <c r="K59" s="94"/>
      <c r="L59" s="92"/>
    </row>
    <row r="60" spans="1:13" x14ac:dyDescent="0.3">
      <c r="A60" s="43"/>
      <c r="B60" s="43"/>
      <c r="C60" s="43"/>
      <c r="D60" s="121" t="s">
        <v>105</v>
      </c>
      <c r="E60" s="122" t="s">
        <v>116</v>
      </c>
      <c r="F60" s="122" t="s">
        <v>224</v>
      </c>
      <c r="G60" s="123"/>
      <c r="H60" s="123"/>
      <c r="I60" s="124">
        <v>162004</v>
      </c>
      <c r="J60" s="123"/>
      <c r="K60" s="124"/>
      <c r="L60" s="123">
        <v>3500</v>
      </c>
      <c r="M60" s="1" t="s">
        <v>31</v>
      </c>
    </row>
    <row r="61" spans="1:13" x14ac:dyDescent="0.3">
      <c r="A61" s="43"/>
      <c r="B61" s="43"/>
      <c r="C61" s="43"/>
      <c r="D61" s="121" t="s">
        <v>106</v>
      </c>
      <c r="E61" s="122" t="s">
        <v>225</v>
      </c>
      <c r="F61" s="122" t="s">
        <v>226</v>
      </c>
      <c r="G61" s="123"/>
      <c r="H61" s="123"/>
      <c r="I61" s="124">
        <v>17011</v>
      </c>
      <c r="J61" s="123"/>
      <c r="K61" s="124"/>
      <c r="L61" s="123">
        <f>280000-1700</f>
        <v>278300</v>
      </c>
      <c r="M61" s="1" t="s">
        <v>356</v>
      </c>
    </row>
    <row r="62" spans="1:13" x14ac:dyDescent="0.3">
      <c r="A62" s="43"/>
      <c r="B62" s="43"/>
      <c r="C62" s="43"/>
      <c r="D62" s="121" t="s">
        <v>106</v>
      </c>
      <c r="E62" s="122" t="s">
        <v>227</v>
      </c>
      <c r="F62" s="122" t="s">
        <v>228</v>
      </c>
      <c r="G62" s="123"/>
      <c r="H62" s="123"/>
      <c r="I62" s="124">
        <v>17253</v>
      </c>
      <c r="J62" s="123"/>
      <c r="K62" s="124"/>
      <c r="L62" s="123">
        <v>175000</v>
      </c>
      <c r="M62" s="1" t="s">
        <v>240</v>
      </c>
    </row>
    <row r="63" spans="1:13" x14ac:dyDescent="0.3">
      <c r="A63" s="43"/>
      <c r="B63" s="43"/>
      <c r="C63" s="43"/>
      <c r="D63" s="137">
        <v>6351</v>
      </c>
      <c r="E63" s="122" t="s">
        <v>109</v>
      </c>
      <c r="F63" s="122" t="s">
        <v>229</v>
      </c>
      <c r="G63" s="123"/>
      <c r="H63" s="123"/>
      <c r="I63" s="124">
        <v>934132</v>
      </c>
      <c r="J63" s="123"/>
      <c r="K63" s="124"/>
      <c r="L63" s="123">
        <v>133100</v>
      </c>
      <c r="M63" s="1" t="s">
        <v>239</v>
      </c>
    </row>
    <row r="64" spans="1:13" x14ac:dyDescent="0.3">
      <c r="A64" s="43"/>
      <c r="B64" s="43"/>
      <c r="C64" s="43"/>
      <c r="D64" s="137" t="s">
        <v>106</v>
      </c>
      <c r="E64" s="122" t="s">
        <v>172</v>
      </c>
      <c r="F64" s="122" t="s">
        <v>238</v>
      </c>
      <c r="G64" s="123"/>
      <c r="H64" s="123"/>
      <c r="I64" s="124">
        <v>80391000000</v>
      </c>
      <c r="J64" s="123"/>
      <c r="K64" s="124"/>
      <c r="L64" s="123">
        <v>11500000</v>
      </c>
      <c r="M64" s="1" t="s">
        <v>234</v>
      </c>
    </row>
    <row r="65" spans="1:13" x14ac:dyDescent="0.3">
      <c r="A65" s="43"/>
      <c r="B65" s="43"/>
      <c r="C65" s="43"/>
      <c r="D65" s="137" t="s">
        <v>106</v>
      </c>
      <c r="E65" s="122" t="s">
        <v>172</v>
      </c>
      <c r="F65" s="151" t="s">
        <v>252</v>
      </c>
      <c r="G65" s="123"/>
      <c r="H65" s="123"/>
      <c r="I65" s="124">
        <v>17506</v>
      </c>
      <c r="J65" s="123"/>
      <c r="K65" s="124"/>
      <c r="L65" s="123">
        <v>3200000</v>
      </c>
      <c r="M65" s="1" t="s">
        <v>253</v>
      </c>
    </row>
    <row r="66" spans="1:13" x14ac:dyDescent="0.3">
      <c r="A66" s="43"/>
      <c r="B66" s="43"/>
      <c r="C66" s="43"/>
      <c r="D66" s="137" t="s">
        <v>106</v>
      </c>
      <c r="E66" s="122" t="s">
        <v>257</v>
      </c>
      <c r="F66" s="151" t="s">
        <v>258</v>
      </c>
      <c r="G66" s="123"/>
      <c r="H66" s="123"/>
      <c r="I66" s="124">
        <v>17206</v>
      </c>
      <c r="J66" s="123"/>
      <c r="K66" s="124"/>
      <c r="L66" s="123">
        <v>1400000</v>
      </c>
      <c r="M66" s="1" t="s">
        <v>259</v>
      </c>
    </row>
    <row r="67" spans="1:13" x14ac:dyDescent="0.3">
      <c r="A67" s="43"/>
      <c r="B67" s="43"/>
      <c r="C67" s="43"/>
      <c r="D67" s="137" t="s">
        <v>106</v>
      </c>
      <c r="E67" s="122" t="s">
        <v>266</v>
      </c>
      <c r="F67" s="154" t="s">
        <v>267</v>
      </c>
      <c r="G67" s="123"/>
      <c r="H67" s="123"/>
      <c r="I67" s="124">
        <v>173001</v>
      </c>
      <c r="J67" s="123"/>
      <c r="K67" s="124"/>
      <c r="L67" s="123">
        <v>700000</v>
      </c>
      <c r="M67" s="1" t="s">
        <v>268</v>
      </c>
    </row>
    <row r="68" spans="1:13" x14ac:dyDescent="0.3">
      <c r="A68" s="43"/>
      <c r="B68" s="43"/>
      <c r="C68" s="43"/>
      <c r="D68" s="137" t="s">
        <v>106</v>
      </c>
      <c r="E68" s="122" t="s">
        <v>269</v>
      </c>
      <c r="F68" s="154" t="s">
        <v>270</v>
      </c>
      <c r="G68" s="123"/>
      <c r="H68" s="123"/>
      <c r="I68" s="124">
        <v>173002</v>
      </c>
      <c r="J68" s="123"/>
      <c r="K68" s="124"/>
      <c r="L68" s="123">
        <v>2467000</v>
      </c>
      <c r="M68" s="1" t="s">
        <v>271</v>
      </c>
    </row>
    <row r="69" spans="1:13" ht="15.6" x14ac:dyDescent="0.3">
      <c r="A69" s="43"/>
      <c r="B69" s="43"/>
      <c r="C69" s="43"/>
      <c r="D69" s="137" t="s">
        <v>106</v>
      </c>
      <c r="E69" s="122" t="s">
        <v>149</v>
      </c>
      <c r="F69" s="157" t="s">
        <v>294</v>
      </c>
      <c r="G69" s="123"/>
      <c r="H69" s="123"/>
      <c r="I69" s="124">
        <v>2300206</v>
      </c>
      <c r="J69" s="123"/>
      <c r="K69" s="124"/>
      <c r="L69" s="123">
        <f>899700+1349400</f>
        <v>2249100</v>
      </c>
    </row>
    <row r="70" spans="1:13" ht="15.6" x14ac:dyDescent="0.3">
      <c r="A70" s="43"/>
      <c r="B70" s="43"/>
      <c r="C70" s="43"/>
      <c r="D70" s="137" t="s">
        <v>106</v>
      </c>
      <c r="E70" s="122" t="s">
        <v>325</v>
      </c>
      <c r="F70" s="157" t="s">
        <v>326</v>
      </c>
      <c r="G70" s="123"/>
      <c r="H70" s="123"/>
      <c r="I70" s="124">
        <v>80430</v>
      </c>
      <c r="J70" s="123"/>
      <c r="K70" s="124"/>
      <c r="L70" s="123">
        <v>900000</v>
      </c>
    </row>
    <row r="71" spans="1:13" ht="15.6" x14ac:dyDescent="0.3">
      <c r="A71" s="43"/>
      <c r="B71" s="43"/>
      <c r="C71" s="43"/>
      <c r="D71" s="137" t="s">
        <v>106</v>
      </c>
      <c r="E71" s="122" t="s">
        <v>314</v>
      </c>
      <c r="F71" s="157" t="s">
        <v>327</v>
      </c>
      <c r="G71" s="123"/>
      <c r="H71" s="123"/>
      <c r="I71" s="124">
        <v>80222</v>
      </c>
      <c r="J71" s="123"/>
      <c r="K71" s="124"/>
      <c r="L71" s="123">
        <v>5000000</v>
      </c>
    </row>
    <row r="72" spans="1:13" ht="15.6" x14ac:dyDescent="0.3">
      <c r="A72" s="43"/>
      <c r="B72" s="43"/>
      <c r="C72" s="43"/>
      <c r="D72" s="137" t="s">
        <v>106</v>
      </c>
      <c r="E72" s="122" t="s">
        <v>364</v>
      </c>
      <c r="F72" s="157" t="s">
        <v>365</v>
      </c>
      <c r="G72" s="123"/>
      <c r="H72" s="123"/>
      <c r="I72" s="124">
        <v>17614</v>
      </c>
      <c r="J72" s="123"/>
      <c r="K72" s="124"/>
      <c r="L72" s="123">
        <v>110500</v>
      </c>
      <c r="M72" s="1" t="s">
        <v>366</v>
      </c>
    </row>
    <row r="73" spans="1:13" ht="15" thickBot="1" x14ac:dyDescent="0.35">
      <c r="A73" s="41">
        <v>6171</v>
      </c>
      <c r="B73" s="41" t="s">
        <v>105</v>
      </c>
      <c r="C73" s="41" t="s">
        <v>204</v>
      </c>
      <c r="D73" s="95">
        <v>6901</v>
      </c>
      <c r="E73" s="96"/>
      <c r="F73" s="96" t="s">
        <v>230</v>
      </c>
      <c r="G73" s="98"/>
      <c r="H73" s="98"/>
      <c r="I73" s="99">
        <v>999</v>
      </c>
      <c r="J73" s="98">
        <v>15000000</v>
      </c>
      <c r="K73" s="99"/>
      <c r="L73" s="98">
        <f>985100-175000-1000000-10000-3200000-1400000+66900+35000-700000-1162600+584000+15000-322000-1590000-1606000+419200-419200-300000+2628300+513500+410500+8400+4300+9700+68200+1700+1046800+15000-110500-1740000-240000+450900-200000-80000</f>
        <v>-6992800</v>
      </c>
      <c r="M73" s="1" t="s">
        <v>383</v>
      </c>
    </row>
    <row r="74" spans="1:13" ht="15" thickBot="1" x14ac:dyDescent="0.35">
      <c r="A74" s="39"/>
      <c r="B74" s="39"/>
      <c r="C74" s="39"/>
      <c r="D74" s="39" t="s">
        <v>105</v>
      </c>
      <c r="E74" s="40" t="s">
        <v>231</v>
      </c>
      <c r="F74" s="39"/>
      <c r="G74" s="38">
        <f>SUM(G4:G73)</f>
        <v>111027200</v>
      </c>
      <c r="H74" s="38">
        <f>SUM(H4:H73)</f>
        <v>52189600</v>
      </c>
      <c r="I74" s="87"/>
      <c r="J74" s="38">
        <f>SUM(J4:J73)</f>
        <v>124829600</v>
      </c>
      <c r="K74" s="87"/>
      <c r="L74" s="38">
        <f>SUM(L4:L73,J74)</f>
        <v>149064100</v>
      </c>
    </row>
    <row r="75" spans="1:13" hidden="1" x14ac:dyDescent="0.3">
      <c r="J75" s="1" t="e">
        <f>'[1]výdaje celkové 2017 nové'!H66-'Závazné ukazatele_inv.výdajů'!#REF!</f>
        <v>#REF!</v>
      </c>
      <c r="K75" s="83" t="e">
        <f>'[1]výdaje celkové 2017 nové'!I66-'Závazné ukazatele_inv.výdajů'!#REF!</f>
        <v>#REF!</v>
      </c>
    </row>
    <row r="76" spans="1:13" hidden="1" x14ac:dyDescent="0.3"/>
    <row r="77" spans="1:13" x14ac:dyDescent="0.3">
      <c r="J77" s="8"/>
      <c r="L77" s="8"/>
    </row>
    <row r="78" spans="1:13" x14ac:dyDescent="0.3">
      <c r="J78" s="8"/>
      <c r="L78" s="8"/>
    </row>
    <row r="79" spans="1:13" x14ac:dyDescent="0.3">
      <c r="M79" s="8"/>
    </row>
  </sheetData>
  <sortState ref="D4:J55">
    <sortCondition descending="1" ref="I4:I55"/>
  </sortState>
  <printOptions horizontalCentered="1"/>
  <pageMargins left="0.11811023622047245" right="0.11811023622047245" top="0.39370078740157483" bottom="0.39370078740157483" header="0.11811023622047245" footer="0.11811023622047245"/>
  <pageSetup paperSize="9" scale="6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H32:H45"/>
  <sheetViews>
    <sheetView topLeftCell="A8" workbookViewId="0">
      <selection activeCell="H32" sqref="H32:I45"/>
    </sheetView>
  </sheetViews>
  <sheetFormatPr defaultRowHeight="14.4" x14ac:dyDescent="0.3"/>
  <cols>
    <col min="8" max="8" width="10" bestFit="1" customWidth="1"/>
  </cols>
  <sheetData>
    <row r="32" spans="8:8" x14ac:dyDescent="0.3">
      <c r="H32" s="162"/>
    </row>
    <row r="33" spans="8:8" x14ac:dyDescent="0.3">
      <c r="H33" s="162"/>
    </row>
    <row r="34" spans="8:8" x14ac:dyDescent="0.3">
      <c r="H34" s="162"/>
    </row>
    <row r="35" spans="8:8" x14ac:dyDescent="0.3">
      <c r="H35" s="162"/>
    </row>
    <row r="36" spans="8:8" x14ac:dyDescent="0.3">
      <c r="H36" s="162"/>
    </row>
    <row r="37" spans="8:8" x14ac:dyDescent="0.3">
      <c r="H37" s="162"/>
    </row>
    <row r="38" spans="8:8" x14ac:dyDescent="0.3">
      <c r="H38" s="162"/>
    </row>
    <row r="39" spans="8:8" x14ac:dyDescent="0.3">
      <c r="H39" s="162"/>
    </row>
    <row r="40" spans="8:8" x14ac:dyDescent="0.3">
      <c r="H40" s="162"/>
    </row>
    <row r="41" spans="8:8" x14ac:dyDescent="0.3">
      <c r="H41" s="162"/>
    </row>
    <row r="42" spans="8:8" x14ac:dyDescent="0.3">
      <c r="H42" s="162"/>
    </row>
    <row r="43" spans="8:8" x14ac:dyDescent="0.3">
      <c r="H43" s="162"/>
    </row>
    <row r="44" spans="8:8" x14ac:dyDescent="0.3">
      <c r="H44" s="162"/>
    </row>
    <row r="45" spans="8:8" x14ac:dyDescent="0.3">
      <c r="H45" s="16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Závazné ukazatele BV</vt:lpstr>
      <vt:lpstr>Závazné ukazatele_inv.výdajů</vt:lpstr>
      <vt:lpstr>List1</vt:lpstr>
      <vt:lpstr>'Závazné ukazatele_inv.výdajů'!Názvy_tisku</vt:lpstr>
      <vt:lpstr>'Závazné ukazatele BV'!Oblast_tisku</vt:lpstr>
      <vt:lpstr>'Závazné ukazatele_inv.výdajů'!Oblast_tisku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Martynková Helena</dc:creator>
  <cp:lastModifiedBy>Nováková Kateřina</cp:lastModifiedBy>
  <cp:revision/>
  <cp:lastPrinted>2017-08-21T08:16:00Z</cp:lastPrinted>
  <dcterms:created xsi:type="dcterms:W3CDTF">2017-01-12T13:04:51Z</dcterms:created>
  <dcterms:modified xsi:type="dcterms:W3CDTF">2017-12-06T15:42:39Z</dcterms:modified>
</cp:coreProperties>
</file>