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035" windowHeight="8955"/>
  </bookViews>
  <sheets>
    <sheet name="Rekapitulace stavby" sheetId="1" r:id="rId1"/>
    <sheet name="SO01 - WC dívky a chlapci" sheetId="2" r:id="rId2"/>
    <sheet name="SO02 - WC imobilní" sheetId="3" r:id="rId3"/>
  </sheets>
  <definedNames>
    <definedName name="_xlnm.Print_Titles" localSheetId="0">'Rekapitulace stavby'!$85:$85</definedName>
    <definedName name="_xlnm.Print_Titles" localSheetId="1">'SO01 - WC dívky a chlapci'!$134:$134</definedName>
    <definedName name="_xlnm.Print_Titles" localSheetId="2">'SO02 - WC imobilní'!$134:$134</definedName>
    <definedName name="_xlnm.Print_Area" localSheetId="0">'Rekapitulace stavby'!$C$4:$AP$70,'Rekapitulace stavby'!$C$76:$AP$106</definedName>
    <definedName name="_xlnm.Print_Area" localSheetId="1">'SO01 - WC dívky a chlapci'!$C$4:$Q$70,'SO01 - WC dívky a chlapci'!$C$76:$Q$118,'SO01 - WC dívky a chlapci'!$C$124:$Q$231</definedName>
    <definedName name="_xlnm.Print_Area" localSheetId="2">'SO02 - WC imobilní'!$C$4:$Q$70,'SO02 - WC imobilní'!$C$76:$Q$118,'SO02 - WC imobilní'!$C$124:$Q$226</definedName>
  </definedNames>
  <calcPr calcId="145621" fullCalcOnLoad="1" iterateCount="1"/>
</workbook>
</file>

<file path=xl/calcChain.xml><?xml version="1.0" encoding="utf-8"?>
<calcChain xmlns="http://schemas.openxmlformats.org/spreadsheetml/2006/main">
  <c r="L78" i="1" l="1"/>
  <c r="L80" i="1"/>
  <c r="AM80" i="1"/>
  <c r="L82" i="1"/>
  <c r="AM82" i="1"/>
  <c r="L83" i="1"/>
  <c r="AM83" i="1"/>
  <c r="AX88" i="1"/>
  <c r="AY88" i="1"/>
  <c r="AX89" i="1"/>
  <c r="AY89" i="1"/>
  <c r="BZ92" i="1"/>
  <c r="CE92" i="1"/>
  <c r="CF92" i="1"/>
  <c r="CG92" i="1"/>
  <c r="CH92" i="1"/>
  <c r="CI92" i="1"/>
  <c r="CJ92" i="1"/>
  <c r="CK92" i="1"/>
  <c r="BZ93" i="1"/>
  <c r="CE93" i="1"/>
  <c r="CF93" i="1"/>
  <c r="CG93" i="1"/>
  <c r="CH93" i="1"/>
  <c r="CI93" i="1"/>
  <c r="CJ93" i="1"/>
  <c r="CK93" i="1"/>
  <c r="BZ94" i="1"/>
  <c r="CE94" i="1"/>
  <c r="CF94" i="1"/>
  <c r="CG94" i="1"/>
  <c r="CH94" i="1"/>
  <c r="CI94" i="1"/>
  <c r="CJ94" i="1"/>
  <c r="CK94" i="1"/>
  <c r="BZ95" i="1"/>
  <c r="CE95" i="1"/>
  <c r="CF95" i="1"/>
  <c r="CG95" i="1"/>
  <c r="CH95" i="1"/>
  <c r="CI95" i="1"/>
  <c r="CJ95" i="1"/>
  <c r="CK95" i="1"/>
  <c r="BZ96" i="1"/>
  <c r="CE96" i="1"/>
  <c r="CF96" i="1"/>
  <c r="CG96" i="1"/>
  <c r="CH96" i="1"/>
  <c r="CI96" i="1"/>
  <c r="CJ96" i="1"/>
  <c r="CK96" i="1"/>
  <c r="BZ97" i="1"/>
  <c r="CE97" i="1"/>
  <c r="CF97" i="1"/>
  <c r="CG97" i="1"/>
  <c r="CH97" i="1"/>
  <c r="CI97" i="1"/>
  <c r="CJ97" i="1"/>
  <c r="CK97" i="1"/>
  <c r="BZ98" i="1"/>
  <c r="CE98" i="1"/>
  <c r="CF98" i="1"/>
  <c r="CG98" i="1"/>
  <c r="CH98" i="1"/>
  <c r="CI98" i="1"/>
  <c r="CJ98" i="1"/>
  <c r="CK98" i="1"/>
  <c r="BZ99" i="1"/>
  <c r="CE99" i="1"/>
  <c r="CF99" i="1"/>
  <c r="CG99" i="1"/>
  <c r="CH99" i="1"/>
  <c r="CI99" i="1"/>
  <c r="CJ99" i="1"/>
  <c r="CK99" i="1"/>
  <c r="BZ100" i="1"/>
  <c r="CE100" i="1"/>
  <c r="CF100" i="1"/>
  <c r="CG100" i="1"/>
  <c r="CH100" i="1"/>
  <c r="CI100" i="1"/>
  <c r="CJ100" i="1"/>
  <c r="CK100" i="1"/>
  <c r="BZ101" i="1"/>
  <c r="CE101" i="1"/>
  <c r="CF101" i="1"/>
  <c r="CG101" i="1"/>
  <c r="CH101" i="1"/>
  <c r="CI101" i="1"/>
  <c r="CJ101" i="1"/>
  <c r="CK101" i="1"/>
  <c r="BZ102" i="1"/>
  <c r="CA102" i="1"/>
  <c r="CB102" i="1"/>
  <c r="CC102" i="1"/>
  <c r="CE102" i="1"/>
  <c r="CF102" i="1"/>
  <c r="CG102" i="1"/>
  <c r="CH102" i="1"/>
  <c r="CI102" i="1"/>
  <c r="CJ102" i="1"/>
  <c r="CK102" i="1"/>
  <c r="BZ103" i="1"/>
  <c r="CA103" i="1"/>
  <c r="CB103" i="1"/>
  <c r="CC103" i="1"/>
  <c r="CE103" i="1"/>
  <c r="CF103" i="1"/>
  <c r="CG103" i="1"/>
  <c r="CH103" i="1"/>
  <c r="CI103" i="1"/>
  <c r="CJ103" i="1"/>
  <c r="CK103" i="1"/>
  <c r="BZ104" i="1"/>
  <c r="CA104" i="1"/>
  <c r="CB104" i="1"/>
  <c r="CC104" i="1"/>
  <c r="CE104" i="1"/>
  <c r="CF104" i="1"/>
  <c r="CG104" i="1"/>
  <c r="CH104" i="1"/>
  <c r="CI104" i="1"/>
  <c r="CJ104" i="1"/>
  <c r="CK104" i="1"/>
  <c r="F6" i="2"/>
  <c r="F78" i="2"/>
  <c r="O9" i="2"/>
  <c r="O11" i="2"/>
  <c r="E12" i="2"/>
  <c r="O12" i="2"/>
  <c r="O14" i="2"/>
  <c r="E15" i="2"/>
  <c r="F84" i="2"/>
  <c r="O15" i="2"/>
  <c r="O17" i="2"/>
  <c r="E18" i="2"/>
  <c r="O18" i="2"/>
  <c r="O20" i="2"/>
  <c r="E21" i="2"/>
  <c r="M132" i="2"/>
  <c r="O21" i="2"/>
  <c r="F79" i="2"/>
  <c r="F81" i="2"/>
  <c r="M81" i="2"/>
  <c r="F83" i="2"/>
  <c r="M83" i="2"/>
  <c r="M84" i="2"/>
  <c r="BF111" i="2"/>
  <c r="BG111" i="2"/>
  <c r="BH111" i="2"/>
  <c r="BI111" i="2"/>
  <c r="H33" i="2"/>
  <c r="BD88" i="1"/>
  <c r="BF112" i="2"/>
  <c r="BG112" i="2"/>
  <c r="BH112" i="2"/>
  <c r="BI112" i="2"/>
  <c r="BF113" i="2"/>
  <c r="BG113" i="2"/>
  <c r="BH113" i="2"/>
  <c r="BI113" i="2"/>
  <c r="BF114" i="2"/>
  <c r="BG114" i="2"/>
  <c r="BH114" i="2"/>
  <c r="BI114" i="2"/>
  <c r="BF115" i="2"/>
  <c r="BG115" i="2"/>
  <c r="BH115" i="2"/>
  <c r="BI115" i="2"/>
  <c r="BF116" i="2"/>
  <c r="BG116" i="2"/>
  <c r="BH116" i="2"/>
  <c r="BI116" i="2"/>
  <c r="F126" i="2"/>
  <c r="F127" i="2"/>
  <c r="F129" i="2"/>
  <c r="M129" i="2"/>
  <c r="F131" i="2"/>
  <c r="M131" i="2"/>
  <c r="F132" i="2"/>
  <c r="Y137" i="2"/>
  <c r="N138" i="2"/>
  <c r="W138" i="2"/>
  <c r="W137" i="2"/>
  <c r="Y138" i="2"/>
  <c r="AA138" i="2"/>
  <c r="AA137" i="2"/>
  <c r="AA136" i="2"/>
  <c r="BE138" i="2"/>
  <c r="BF138" i="2"/>
  <c r="BG138" i="2"/>
  <c r="BH138" i="2"/>
  <c r="BI138" i="2"/>
  <c r="BK138" i="2"/>
  <c r="BK137" i="2"/>
  <c r="AA139" i="2"/>
  <c r="N140" i="2"/>
  <c r="W140" i="2"/>
  <c r="Y140" i="2"/>
  <c r="Y139" i="2"/>
  <c r="AA140" i="2"/>
  <c r="BE140" i="2"/>
  <c r="BF140" i="2"/>
  <c r="BG140" i="2"/>
  <c r="BH140" i="2"/>
  <c r="BI140" i="2"/>
  <c r="BK140" i="2"/>
  <c r="BK139" i="2"/>
  <c r="N139" i="2"/>
  <c r="N91" i="2"/>
  <c r="N141" i="2"/>
  <c r="W141" i="2"/>
  <c r="Y141" i="2"/>
  <c r="AA141" i="2"/>
  <c r="BE141" i="2"/>
  <c r="BF141" i="2"/>
  <c r="BG141" i="2"/>
  <c r="BH141" i="2"/>
  <c r="BI141" i="2"/>
  <c r="BK141" i="2"/>
  <c r="N142" i="2"/>
  <c r="W142" i="2"/>
  <c r="Y142" i="2"/>
  <c r="AA142" i="2"/>
  <c r="BE142" i="2"/>
  <c r="BF142" i="2"/>
  <c r="BG142" i="2"/>
  <c r="BH142" i="2"/>
  <c r="BI142" i="2"/>
  <c r="BK142" i="2"/>
  <c r="N143" i="2"/>
  <c r="W143" i="2"/>
  <c r="Y143" i="2"/>
  <c r="AA143" i="2"/>
  <c r="BE143" i="2"/>
  <c r="BF143" i="2"/>
  <c r="BG143" i="2"/>
  <c r="BH143" i="2"/>
  <c r="BI143" i="2"/>
  <c r="BK143" i="2"/>
  <c r="N144" i="2"/>
  <c r="W144" i="2"/>
  <c r="W139" i="2"/>
  <c r="Y144" i="2"/>
  <c r="AA144" i="2"/>
  <c r="BE144" i="2"/>
  <c r="BF144" i="2"/>
  <c r="BG144" i="2"/>
  <c r="BH144" i="2"/>
  <c r="BI144" i="2"/>
  <c r="BK144" i="2"/>
  <c r="N146" i="2"/>
  <c r="W146" i="2"/>
  <c r="W145" i="2"/>
  <c r="Y146" i="2"/>
  <c r="AA146" i="2"/>
  <c r="AA145" i="2"/>
  <c r="BE146" i="2"/>
  <c r="BF146" i="2"/>
  <c r="BG146" i="2"/>
  <c r="BH146" i="2"/>
  <c r="BI146" i="2"/>
  <c r="BK146" i="2"/>
  <c r="N147" i="2"/>
  <c r="W147" i="2"/>
  <c r="Y147" i="2"/>
  <c r="AA147" i="2"/>
  <c r="BE147" i="2"/>
  <c r="BF147" i="2"/>
  <c r="BG147" i="2"/>
  <c r="BH147" i="2"/>
  <c r="BI147" i="2"/>
  <c r="BK147" i="2"/>
  <c r="N148" i="2"/>
  <c r="W148" i="2"/>
  <c r="Y148" i="2"/>
  <c r="AA148" i="2"/>
  <c r="BE148" i="2"/>
  <c r="BF148" i="2"/>
  <c r="BG148" i="2"/>
  <c r="BH148" i="2"/>
  <c r="BI148" i="2"/>
  <c r="BK148" i="2"/>
  <c r="N149" i="2"/>
  <c r="W149" i="2"/>
  <c r="Y149" i="2"/>
  <c r="AA149" i="2"/>
  <c r="BE149" i="2"/>
  <c r="BF149" i="2"/>
  <c r="BG149" i="2"/>
  <c r="BH149" i="2"/>
  <c r="BI149" i="2"/>
  <c r="BK149" i="2"/>
  <c r="N150" i="2"/>
  <c r="W150" i="2"/>
  <c r="Y150" i="2"/>
  <c r="AA150" i="2"/>
  <c r="BE150" i="2"/>
  <c r="BF150" i="2"/>
  <c r="BG150" i="2"/>
  <c r="BH150" i="2"/>
  <c r="BI150" i="2"/>
  <c r="BK150" i="2"/>
  <c r="N151" i="2"/>
  <c r="W151" i="2"/>
  <c r="Y151" i="2"/>
  <c r="AA151" i="2"/>
  <c r="BE151" i="2"/>
  <c r="BF151" i="2"/>
  <c r="BG151" i="2"/>
  <c r="BH151" i="2"/>
  <c r="BI151" i="2"/>
  <c r="BK151" i="2"/>
  <c r="N152" i="2"/>
  <c r="W152" i="2"/>
  <c r="Y152" i="2"/>
  <c r="Y145" i="2"/>
  <c r="AA152" i="2"/>
  <c r="BE152" i="2"/>
  <c r="BF152" i="2"/>
  <c r="BG152" i="2"/>
  <c r="BH152" i="2"/>
  <c r="BI152" i="2"/>
  <c r="BK152" i="2"/>
  <c r="N153" i="2"/>
  <c r="W153" i="2"/>
  <c r="Y153" i="2"/>
  <c r="AA153" i="2"/>
  <c r="BE153" i="2"/>
  <c r="BF153" i="2"/>
  <c r="BG153" i="2"/>
  <c r="BH153" i="2"/>
  <c r="BI153" i="2"/>
  <c r="BK153" i="2"/>
  <c r="W154" i="2"/>
  <c r="AA154" i="2"/>
  <c r="N155" i="2"/>
  <c r="W155" i="2"/>
  <c r="Y155" i="2"/>
  <c r="Y154" i="2"/>
  <c r="AA155" i="2"/>
  <c r="BE155" i="2"/>
  <c r="BF155" i="2"/>
  <c r="BG155" i="2"/>
  <c r="BH155" i="2"/>
  <c r="BI155" i="2"/>
  <c r="BK155" i="2"/>
  <c r="BK154" i="2"/>
  <c r="N154" i="2"/>
  <c r="N93" i="2"/>
  <c r="N156" i="2"/>
  <c r="W156" i="2"/>
  <c r="Y156" i="2"/>
  <c r="AA156" i="2"/>
  <c r="BE156" i="2"/>
  <c r="BF156" i="2"/>
  <c r="BG156" i="2"/>
  <c r="BH156" i="2"/>
  <c r="BI156" i="2"/>
  <c r="BK156" i="2"/>
  <c r="N157" i="2"/>
  <c r="W157" i="2"/>
  <c r="Y157" i="2"/>
  <c r="AA157" i="2"/>
  <c r="BE157" i="2"/>
  <c r="BF157" i="2"/>
  <c r="BG157" i="2"/>
  <c r="BH157" i="2"/>
  <c r="BI157" i="2"/>
  <c r="BK157" i="2"/>
  <c r="N158" i="2"/>
  <c r="W158" i="2"/>
  <c r="Y158" i="2"/>
  <c r="AA158" i="2"/>
  <c r="BE158" i="2"/>
  <c r="BF158" i="2"/>
  <c r="BG158" i="2"/>
  <c r="BH158" i="2"/>
  <c r="BI158" i="2"/>
  <c r="BK158" i="2"/>
  <c r="W160" i="2"/>
  <c r="AA160" i="2"/>
  <c r="N161" i="2"/>
  <c r="W161" i="2"/>
  <c r="Y161" i="2"/>
  <c r="Y160" i="2"/>
  <c r="AA161" i="2"/>
  <c r="BE161" i="2"/>
  <c r="BF161" i="2"/>
  <c r="BG161" i="2"/>
  <c r="BH161" i="2"/>
  <c r="BI161" i="2"/>
  <c r="BK161" i="2"/>
  <c r="N162" i="2"/>
  <c r="W162" i="2"/>
  <c r="Y162" i="2"/>
  <c r="AA162" i="2"/>
  <c r="BE162" i="2"/>
  <c r="BF162" i="2"/>
  <c r="BG162" i="2"/>
  <c r="BH162" i="2"/>
  <c r="BI162" i="2"/>
  <c r="BK162" i="2"/>
  <c r="BK160" i="2"/>
  <c r="Y163" i="2"/>
  <c r="N164" i="2"/>
  <c r="W164" i="2"/>
  <c r="W163" i="2"/>
  <c r="Y164" i="2"/>
  <c r="AA164" i="2"/>
  <c r="AA163" i="2"/>
  <c r="BE164" i="2"/>
  <c r="BF164" i="2"/>
  <c r="BG164" i="2"/>
  <c r="BH164" i="2"/>
  <c r="BI164" i="2"/>
  <c r="BK164" i="2"/>
  <c r="N165" i="2"/>
  <c r="W165" i="2"/>
  <c r="Y165" i="2"/>
  <c r="AA165" i="2"/>
  <c r="BE165" i="2"/>
  <c r="BF165" i="2"/>
  <c r="BG165" i="2"/>
  <c r="BH165" i="2"/>
  <c r="BI165" i="2"/>
  <c r="BK165" i="2"/>
  <c r="BK163" i="2"/>
  <c r="N163" i="2"/>
  <c r="N96" i="2"/>
  <c r="N166" i="2"/>
  <c r="W166" i="2"/>
  <c r="Y166" i="2"/>
  <c r="AA166" i="2"/>
  <c r="BE166" i="2"/>
  <c r="BF166" i="2"/>
  <c r="BG166" i="2"/>
  <c r="BH166" i="2"/>
  <c r="BI166" i="2"/>
  <c r="BK166" i="2"/>
  <c r="N167" i="2"/>
  <c r="W167" i="2"/>
  <c r="Y167" i="2"/>
  <c r="AA167" i="2"/>
  <c r="BE167" i="2"/>
  <c r="BF167" i="2"/>
  <c r="BG167" i="2"/>
  <c r="BH167" i="2"/>
  <c r="BI167" i="2"/>
  <c r="BK167" i="2"/>
  <c r="AA168" i="2"/>
  <c r="N169" i="2"/>
  <c r="W169" i="2"/>
  <c r="Y169" i="2"/>
  <c r="Y168" i="2"/>
  <c r="AA169" i="2"/>
  <c r="BE169" i="2"/>
  <c r="BF169" i="2"/>
  <c r="BG169" i="2"/>
  <c r="BH169" i="2"/>
  <c r="BI169" i="2"/>
  <c r="BK169" i="2"/>
  <c r="BK168" i="2"/>
  <c r="N168" i="2"/>
  <c r="N97" i="2"/>
  <c r="N170" i="2"/>
  <c r="W170" i="2"/>
  <c r="Y170" i="2"/>
  <c r="AA170" i="2"/>
  <c r="BE170" i="2"/>
  <c r="BF170" i="2"/>
  <c r="BG170" i="2"/>
  <c r="BH170" i="2"/>
  <c r="BI170" i="2"/>
  <c r="BK170" i="2"/>
  <c r="N171" i="2"/>
  <c r="W171" i="2"/>
  <c r="Y171" i="2"/>
  <c r="AA171" i="2"/>
  <c r="BE171" i="2"/>
  <c r="BF171" i="2"/>
  <c r="BG171" i="2"/>
  <c r="BH171" i="2"/>
  <c r="BI171" i="2"/>
  <c r="BK171" i="2"/>
  <c r="N172" i="2"/>
  <c r="W172" i="2"/>
  <c r="Y172" i="2"/>
  <c r="AA172" i="2"/>
  <c r="BE172" i="2"/>
  <c r="BF172" i="2"/>
  <c r="BG172" i="2"/>
  <c r="BH172" i="2"/>
  <c r="BI172" i="2"/>
  <c r="BK172" i="2"/>
  <c r="N173" i="2"/>
  <c r="W173" i="2"/>
  <c r="W168" i="2"/>
  <c r="Y173" i="2"/>
  <c r="AA173" i="2"/>
  <c r="BE173" i="2"/>
  <c r="BF173" i="2"/>
  <c r="BG173" i="2"/>
  <c r="BH173" i="2"/>
  <c r="BI173" i="2"/>
  <c r="BK173" i="2"/>
  <c r="N174" i="2"/>
  <c r="W174" i="2"/>
  <c r="Y174" i="2"/>
  <c r="AA174" i="2"/>
  <c r="BE174" i="2"/>
  <c r="BF174" i="2"/>
  <c r="BG174" i="2"/>
  <c r="BH174" i="2"/>
  <c r="BI174" i="2"/>
  <c r="BK174" i="2"/>
  <c r="N175" i="2"/>
  <c r="W175" i="2"/>
  <c r="Y175" i="2"/>
  <c r="AA175" i="2"/>
  <c r="BE175" i="2"/>
  <c r="BF175" i="2"/>
  <c r="BG175" i="2"/>
  <c r="BH175" i="2"/>
  <c r="BI175" i="2"/>
  <c r="BK175" i="2"/>
  <c r="N177" i="2"/>
  <c r="W177" i="2"/>
  <c r="W176" i="2"/>
  <c r="Y177" i="2"/>
  <c r="AA177" i="2"/>
  <c r="BE177" i="2"/>
  <c r="BF177" i="2"/>
  <c r="BG177" i="2"/>
  <c r="BH177" i="2"/>
  <c r="BI177" i="2"/>
  <c r="BK177" i="2"/>
  <c r="N178" i="2"/>
  <c r="W178" i="2"/>
  <c r="Y178" i="2"/>
  <c r="AA178" i="2"/>
  <c r="BE178" i="2"/>
  <c r="BF178" i="2"/>
  <c r="BG178" i="2"/>
  <c r="BH178" i="2"/>
  <c r="BI178" i="2"/>
  <c r="BK178" i="2"/>
  <c r="N179" i="2"/>
  <c r="W179" i="2"/>
  <c r="Y179" i="2"/>
  <c r="AA179" i="2"/>
  <c r="BE179" i="2"/>
  <c r="BF179" i="2"/>
  <c r="BG179" i="2"/>
  <c r="BH179" i="2"/>
  <c r="BI179" i="2"/>
  <c r="BK179" i="2"/>
  <c r="N180" i="2"/>
  <c r="W180" i="2"/>
  <c r="Y180" i="2"/>
  <c r="AA180" i="2"/>
  <c r="BE180" i="2"/>
  <c r="BF180" i="2"/>
  <c r="BG180" i="2"/>
  <c r="BH180" i="2"/>
  <c r="BI180" i="2"/>
  <c r="BK180" i="2"/>
  <c r="N181" i="2"/>
  <c r="W181" i="2"/>
  <c r="Y181" i="2"/>
  <c r="AA181" i="2"/>
  <c r="BE181" i="2"/>
  <c r="BF181" i="2"/>
  <c r="BG181" i="2"/>
  <c r="BH181" i="2"/>
  <c r="BI181" i="2"/>
  <c r="BK181" i="2"/>
  <c r="N182" i="2"/>
  <c r="W182" i="2"/>
  <c r="Y182" i="2"/>
  <c r="AA182" i="2"/>
  <c r="BE182" i="2"/>
  <c r="BF182" i="2"/>
  <c r="BG182" i="2"/>
  <c r="BH182" i="2"/>
  <c r="BI182" i="2"/>
  <c r="BK182" i="2"/>
  <c r="N183" i="2"/>
  <c r="W183" i="2"/>
  <c r="Y183" i="2"/>
  <c r="Y176" i="2"/>
  <c r="AA183" i="2"/>
  <c r="BE183" i="2"/>
  <c r="BF183" i="2"/>
  <c r="BG183" i="2"/>
  <c r="BH183" i="2"/>
  <c r="BI183" i="2"/>
  <c r="BK183" i="2"/>
  <c r="N184" i="2"/>
  <c r="W184" i="2"/>
  <c r="Y184" i="2"/>
  <c r="AA184" i="2"/>
  <c r="BE184" i="2"/>
  <c r="BF184" i="2"/>
  <c r="BG184" i="2"/>
  <c r="BH184" i="2"/>
  <c r="BI184" i="2"/>
  <c r="BK184" i="2"/>
  <c r="N185" i="2"/>
  <c r="W185" i="2"/>
  <c r="Y185" i="2"/>
  <c r="AA185" i="2"/>
  <c r="BE185" i="2"/>
  <c r="BF185" i="2"/>
  <c r="BG185" i="2"/>
  <c r="BH185" i="2"/>
  <c r="BI185" i="2"/>
  <c r="BK185" i="2"/>
  <c r="N186" i="2"/>
  <c r="W186" i="2"/>
  <c r="Y186" i="2"/>
  <c r="AA186" i="2"/>
  <c r="BE186" i="2"/>
  <c r="BF186" i="2"/>
  <c r="BG186" i="2"/>
  <c r="BH186" i="2"/>
  <c r="BI186" i="2"/>
  <c r="BK186" i="2"/>
  <c r="N187" i="2"/>
  <c r="W187" i="2"/>
  <c r="Y187" i="2"/>
  <c r="AA187" i="2"/>
  <c r="BE187" i="2"/>
  <c r="BF187" i="2"/>
  <c r="BG187" i="2"/>
  <c r="BH187" i="2"/>
  <c r="BI187" i="2"/>
  <c r="BK187" i="2"/>
  <c r="N188" i="2"/>
  <c r="W188" i="2"/>
  <c r="Y188" i="2"/>
  <c r="AA188" i="2"/>
  <c r="BE188" i="2"/>
  <c r="BF188" i="2"/>
  <c r="BG188" i="2"/>
  <c r="BH188" i="2"/>
  <c r="BI188" i="2"/>
  <c r="BK188" i="2"/>
  <c r="N189" i="2"/>
  <c r="W189" i="2"/>
  <c r="Y189" i="2"/>
  <c r="AA189" i="2"/>
  <c r="BE189" i="2"/>
  <c r="BF189" i="2"/>
  <c r="BG189" i="2"/>
  <c r="BH189" i="2"/>
  <c r="BI189" i="2"/>
  <c r="BK189" i="2"/>
  <c r="N190" i="2"/>
  <c r="W190" i="2"/>
  <c r="Y190" i="2"/>
  <c r="AA190" i="2"/>
  <c r="BE190" i="2"/>
  <c r="BF190" i="2"/>
  <c r="BG190" i="2"/>
  <c r="BH190" i="2"/>
  <c r="BI190" i="2"/>
  <c r="BK190" i="2"/>
  <c r="N191" i="2"/>
  <c r="W191" i="2"/>
  <c r="Y191" i="2"/>
  <c r="AA191" i="2"/>
  <c r="BE191" i="2"/>
  <c r="BF191" i="2"/>
  <c r="BG191" i="2"/>
  <c r="BH191" i="2"/>
  <c r="BI191" i="2"/>
  <c r="BK191" i="2"/>
  <c r="N192" i="2"/>
  <c r="W192" i="2"/>
  <c r="Y192" i="2"/>
  <c r="AA192" i="2"/>
  <c r="BE192" i="2"/>
  <c r="BF192" i="2"/>
  <c r="BG192" i="2"/>
  <c r="BH192" i="2"/>
  <c r="BI192" i="2"/>
  <c r="BK192" i="2"/>
  <c r="N193" i="2"/>
  <c r="W193" i="2"/>
  <c r="Y193" i="2"/>
  <c r="AA193" i="2"/>
  <c r="BE193" i="2"/>
  <c r="BF193" i="2"/>
  <c r="BG193" i="2"/>
  <c r="BH193" i="2"/>
  <c r="BI193" i="2"/>
  <c r="BK193" i="2"/>
  <c r="N194" i="2"/>
  <c r="W194" i="2"/>
  <c r="Y194" i="2"/>
  <c r="AA194" i="2"/>
  <c r="BE194" i="2"/>
  <c r="BF194" i="2"/>
  <c r="BG194" i="2"/>
  <c r="BH194" i="2"/>
  <c r="BI194" i="2"/>
  <c r="BK194" i="2"/>
  <c r="AA195" i="2"/>
  <c r="N196" i="2"/>
  <c r="W196" i="2"/>
  <c r="W195" i="2"/>
  <c r="Y196" i="2"/>
  <c r="Y195" i="2"/>
  <c r="AA196" i="2"/>
  <c r="BE196" i="2"/>
  <c r="BF196" i="2"/>
  <c r="BG196" i="2"/>
  <c r="BH196" i="2"/>
  <c r="BI196" i="2"/>
  <c r="BK196" i="2"/>
  <c r="BK195" i="2"/>
  <c r="N195" i="2"/>
  <c r="N99" i="2"/>
  <c r="N198" i="2"/>
  <c r="W198" i="2"/>
  <c r="W197" i="2"/>
  <c r="Y198" i="2"/>
  <c r="Y197" i="2"/>
  <c r="AA198" i="2"/>
  <c r="AA197" i="2"/>
  <c r="BE198" i="2"/>
  <c r="BF198" i="2"/>
  <c r="BG198" i="2"/>
  <c r="BH198" i="2"/>
  <c r="BI198" i="2"/>
  <c r="BK198" i="2"/>
  <c r="N199" i="2"/>
  <c r="W199" i="2"/>
  <c r="Y199" i="2"/>
  <c r="AA199" i="2"/>
  <c r="BE199" i="2"/>
  <c r="BF199" i="2"/>
  <c r="BG199" i="2"/>
  <c r="BH199" i="2"/>
  <c r="BI199" i="2"/>
  <c r="BK199" i="2"/>
  <c r="BK197" i="2"/>
  <c r="N197" i="2"/>
  <c r="N100" i="2"/>
  <c r="AA200" i="2"/>
  <c r="N201" i="2"/>
  <c r="W201" i="2"/>
  <c r="W200" i="2"/>
  <c r="Y201" i="2"/>
  <c r="Y200" i="2"/>
  <c r="AA201" i="2"/>
  <c r="BE201" i="2"/>
  <c r="BF201" i="2"/>
  <c r="BG201" i="2"/>
  <c r="BH201" i="2"/>
  <c r="BI201" i="2"/>
  <c r="BK201" i="2"/>
  <c r="BK200" i="2"/>
  <c r="N200" i="2"/>
  <c r="N101" i="2"/>
  <c r="N203" i="2"/>
  <c r="W203" i="2"/>
  <c r="Y203" i="2"/>
  <c r="Y202" i="2"/>
  <c r="AA203" i="2"/>
  <c r="BE203" i="2"/>
  <c r="BF203" i="2"/>
  <c r="BG203" i="2"/>
  <c r="BH203" i="2"/>
  <c r="BI203" i="2"/>
  <c r="BK203" i="2"/>
  <c r="N204" i="2"/>
  <c r="W204" i="2"/>
  <c r="Y204" i="2"/>
  <c r="AA204" i="2"/>
  <c r="BE204" i="2"/>
  <c r="BF204" i="2"/>
  <c r="BG204" i="2"/>
  <c r="BH204" i="2"/>
  <c r="BI204" i="2"/>
  <c r="BK204" i="2"/>
  <c r="BK202" i="2"/>
  <c r="N202" i="2"/>
  <c r="N102" i="2"/>
  <c r="N205" i="2"/>
  <c r="W205" i="2"/>
  <c r="Y205" i="2"/>
  <c r="AA205" i="2"/>
  <c r="BE205" i="2"/>
  <c r="BF205" i="2"/>
  <c r="BG205" i="2"/>
  <c r="BH205" i="2"/>
  <c r="BI205" i="2"/>
  <c r="BK205" i="2"/>
  <c r="N206" i="2"/>
  <c r="W206" i="2"/>
  <c r="Y206" i="2"/>
  <c r="AA206" i="2"/>
  <c r="BE206" i="2"/>
  <c r="BF206" i="2"/>
  <c r="BG206" i="2"/>
  <c r="BH206" i="2"/>
  <c r="BI206" i="2"/>
  <c r="BK206" i="2"/>
  <c r="N207" i="2"/>
  <c r="W207" i="2"/>
  <c r="Y207" i="2"/>
  <c r="AA207" i="2"/>
  <c r="BE207" i="2"/>
  <c r="BF207" i="2"/>
  <c r="BG207" i="2"/>
  <c r="BH207" i="2"/>
  <c r="BI207" i="2"/>
  <c r="BK207" i="2"/>
  <c r="N208" i="2"/>
  <c r="W208" i="2"/>
  <c r="Y208" i="2"/>
  <c r="AA208" i="2"/>
  <c r="BE208" i="2"/>
  <c r="BF208" i="2"/>
  <c r="BG208" i="2"/>
  <c r="BH208" i="2"/>
  <c r="BI208" i="2"/>
  <c r="BK208" i="2"/>
  <c r="N209" i="2"/>
  <c r="W209" i="2"/>
  <c r="Y209" i="2"/>
  <c r="AA209" i="2"/>
  <c r="BE209" i="2"/>
  <c r="BF209" i="2"/>
  <c r="BG209" i="2"/>
  <c r="BH209" i="2"/>
  <c r="BI209" i="2"/>
  <c r="BK209" i="2"/>
  <c r="W210" i="2"/>
  <c r="N211" i="2"/>
  <c r="W211" i="2"/>
  <c r="Y211" i="2"/>
  <c r="AA211" i="2"/>
  <c r="AA210" i="2"/>
  <c r="BE211" i="2"/>
  <c r="BF211" i="2"/>
  <c r="BG211" i="2"/>
  <c r="BH211" i="2"/>
  <c r="BI211" i="2"/>
  <c r="BK211" i="2"/>
  <c r="N212" i="2"/>
  <c r="W212" i="2"/>
  <c r="Y212" i="2"/>
  <c r="AA212" i="2"/>
  <c r="BE212" i="2"/>
  <c r="BF212" i="2"/>
  <c r="BG212" i="2"/>
  <c r="BH212" i="2"/>
  <c r="BI212" i="2"/>
  <c r="BK212" i="2"/>
  <c r="BK210" i="2"/>
  <c r="N210" i="2"/>
  <c r="N103" i="2"/>
  <c r="N213" i="2"/>
  <c r="W213" i="2"/>
  <c r="Y213" i="2"/>
  <c r="AA213" i="2"/>
  <c r="BE213" i="2"/>
  <c r="BF213" i="2"/>
  <c r="BG213" i="2"/>
  <c r="BH213" i="2"/>
  <c r="BI213" i="2"/>
  <c r="BK213" i="2"/>
  <c r="N214" i="2"/>
  <c r="W214" i="2"/>
  <c r="Y214" i="2"/>
  <c r="AA214" i="2"/>
  <c r="BE214" i="2"/>
  <c r="BF214" i="2"/>
  <c r="BG214" i="2"/>
  <c r="BH214" i="2"/>
  <c r="BI214" i="2"/>
  <c r="BK214" i="2"/>
  <c r="N215" i="2"/>
  <c r="W215" i="2"/>
  <c r="Y215" i="2"/>
  <c r="AA215" i="2"/>
  <c r="BE215" i="2"/>
  <c r="BF215" i="2"/>
  <c r="BG215" i="2"/>
  <c r="BH215" i="2"/>
  <c r="BI215" i="2"/>
  <c r="BK215" i="2"/>
  <c r="N216" i="2"/>
  <c r="W216" i="2"/>
  <c r="Y216" i="2"/>
  <c r="AA216" i="2"/>
  <c r="BE216" i="2"/>
  <c r="BF216" i="2"/>
  <c r="BG216" i="2"/>
  <c r="BH216" i="2"/>
  <c r="BI216" i="2"/>
  <c r="BK216" i="2"/>
  <c r="N218" i="2"/>
  <c r="W218" i="2"/>
  <c r="Y218" i="2"/>
  <c r="Y217" i="2"/>
  <c r="AA218" i="2"/>
  <c r="BE218" i="2"/>
  <c r="BF218" i="2"/>
  <c r="BG218" i="2"/>
  <c r="BH218" i="2"/>
  <c r="BI218" i="2"/>
  <c r="BK218" i="2"/>
  <c r="N219" i="2"/>
  <c r="W219" i="2"/>
  <c r="Y219" i="2"/>
  <c r="AA219" i="2"/>
  <c r="BE219" i="2"/>
  <c r="BF219" i="2"/>
  <c r="BG219" i="2"/>
  <c r="BH219" i="2"/>
  <c r="BI219" i="2"/>
  <c r="BK219" i="2"/>
  <c r="BK217" i="2"/>
  <c r="N217" i="2"/>
  <c r="N104" i="2"/>
  <c r="N220" i="2"/>
  <c r="W220" i="2"/>
  <c r="Y220" i="2"/>
  <c r="AA220" i="2"/>
  <c r="BE220" i="2"/>
  <c r="BF220" i="2"/>
  <c r="BG220" i="2"/>
  <c r="BH220" i="2"/>
  <c r="BI220" i="2"/>
  <c r="BK220" i="2"/>
  <c r="W221" i="2"/>
  <c r="BK221" i="2"/>
  <c r="N221" i="2"/>
  <c r="N105" i="2"/>
  <c r="N222" i="2"/>
  <c r="W222" i="2"/>
  <c r="Y222" i="2"/>
  <c r="Y221" i="2"/>
  <c r="AA222" i="2"/>
  <c r="AA221" i="2"/>
  <c r="BE222" i="2"/>
  <c r="BF222" i="2"/>
  <c r="BG222" i="2"/>
  <c r="BH222" i="2"/>
  <c r="BI222" i="2"/>
  <c r="BK222" i="2"/>
  <c r="Y223" i="2"/>
  <c r="N224" i="2"/>
  <c r="W224" i="2"/>
  <c r="Y224" i="2"/>
  <c r="AA224" i="2"/>
  <c r="AA223" i="2"/>
  <c r="BE224" i="2"/>
  <c r="BF224" i="2"/>
  <c r="BG224" i="2"/>
  <c r="BH224" i="2"/>
  <c r="BI224" i="2"/>
  <c r="BK224" i="2"/>
  <c r="N225" i="2"/>
  <c r="W225" i="2"/>
  <c r="Y225" i="2"/>
  <c r="AA225" i="2"/>
  <c r="BE225" i="2"/>
  <c r="BF225" i="2"/>
  <c r="BG225" i="2"/>
  <c r="BH225" i="2"/>
  <c r="BI225" i="2"/>
  <c r="BK225" i="2"/>
  <c r="N226" i="2"/>
  <c r="W226" i="2"/>
  <c r="Y226" i="2"/>
  <c r="AA226" i="2"/>
  <c r="BE226" i="2"/>
  <c r="BF226" i="2"/>
  <c r="BG226" i="2"/>
  <c r="BH226" i="2"/>
  <c r="BI226" i="2"/>
  <c r="BK226" i="2"/>
  <c r="N227" i="2"/>
  <c r="W227" i="2"/>
  <c r="Y227" i="2"/>
  <c r="AA227" i="2"/>
  <c r="BE227" i="2"/>
  <c r="BF227" i="2"/>
  <c r="BG227" i="2"/>
  <c r="BH227" i="2"/>
  <c r="BI227" i="2"/>
  <c r="BK227" i="2"/>
  <c r="W228" i="2"/>
  <c r="BK228" i="2"/>
  <c r="N228" i="2"/>
  <c r="N107" i="2"/>
  <c r="N229" i="2"/>
  <c r="W229" i="2"/>
  <c r="Y229" i="2"/>
  <c r="Y228" i="2"/>
  <c r="AA229" i="2"/>
  <c r="AA228" i="2"/>
  <c r="BE229" i="2"/>
  <c r="BF229" i="2"/>
  <c r="BG229" i="2"/>
  <c r="BH229" i="2"/>
  <c r="BI229" i="2"/>
  <c r="BK229" i="2"/>
  <c r="BK230" i="2"/>
  <c r="N230" i="2"/>
  <c r="N108" i="2"/>
  <c r="N231" i="2"/>
  <c r="BE231" i="2"/>
  <c r="BF231" i="2"/>
  <c r="BG231" i="2"/>
  <c r="BH231" i="2"/>
  <c r="BI231" i="2"/>
  <c r="BK231" i="2"/>
  <c r="F6" i="3"/>
  <c r="O9" i="3"/>
  <c r="O11" i="3"/>
  <c r="E12" i="3"/>
  <c r="O12" i="3"/>
  <c r="O14" i="3"/>
  <c r="E15" i="3"/>
  <c r="O15" i="3"/>
  <c r="O17" i="3"/>
  <c r="E18" i="3"/>
  <c r="M83" i="3"/>
  <c r="O18" i="3"/>
  <c r="O20" i="3"/>
  <c r="E21" i="3"/>
  <c r="O21" i="3"/>
  <c r="F78" i="3"/>
  <c r="F79" i="3"/>
  <c r="F81" i="3"/>
  <c r="F83" i="3"/>
  <c r="F84" i="3"/>
  <c r="M84" i="3"/>
  <c r="BF111" i="3"/>
  <c r="BG111" i="3"/>
  <c r="BH111" i="3"/>
  <c r="BI111" i="3"/>
  <c r="BF112" i="3"/>
  <c r="BG112" i="3"/>
  <c r="BH112" i="3"/>
  <c r="BI112" i="3"/>
  <c r="BF113" i="3"/>
  <c r="BG113" i="3"/>
  <c r="BH113" i="3"/>
  <c r="BI113" i="3"/>
  <c r="BF114" i="3"/>
  <c r="BG114" i="3"/>
  <c r="BH114" i="3"/>
  <c r="BI114" i="3"/>
  <c r="BF115" i="3"/>
  <c r="BG115" i="3"/>
  <c r="BH115" i="3"/>
  <c r="BI115" i="3"/>
  <c r="BF116" i="3"/>
  <c r="BG116" i="3"/>
  <c r="H31" i="3"/>
  <c r="BB89" i="1"/>
  <c r="BH116" i="3"/>
  <c r="BI116" i="3"/>
  <c r="F126" i="3"/>
  <c r="F127" i="3"/>
  <c r="F129" i="3"/>
  <c r="F131" i="3"/>
  <c r="F132" i="3"/>
  <c r="M132" i="3"/>
  <c r="AA137" i="3"/>
  <c r="N138" i="3"/>
  <c r="W138" i="3"/>
  <c r="W137" i="3"/>
  <c r="Y138" i="3"/>
  <c r="Y137" i="3"/>
  <c r="AA138" i="3"/>
  <c r="BE138" i="3"/>
  <c r="BF138" i="3"/>
  <c r="BG138" i="3"/>
  <c r="BH138" i="3"/>
  <c r="BI138" i="3"/>
  <c r="BK138" i="3"/>
  <c r="BK137" i="3"/>
  <c r="N137" i="3"/>
  <c r="N90" i="3"/>
  <c r="AA139" i="3"/>
  <c r="N140" i="3"/>
  <c r="W140" i="3"/>
  <c r="Y140" i="3"/>
  <c r="AA140" i="3"/>
  <c r="BE140" i="3"/>
  <c r="BF140" i="3"/>
  <c r="BG140" i="3"/>
  <c r="BH140" i="3"/>
  <c r="BI140" i="3"/>
  <c r="BK140" i="3"/>
  <c r="N141" i="3"/>
  <c r="W141" i="3"/>
  <c r="Y141" i="3"/>
  <c r="AA141" i="3"/>
  <c r="BE141" i="3"/>
  <c r="BF141" i="3"/>
  <c r="BG141" i="3"/>
  <c r="BH141" i="3"/>
  <c r="BI141" i="3"/>
  <c r="BK141" i="3"/>
  <c r="BK139" i="3"/>
  <c r="N139" i="3"/>
  <c r="N91" i="3"/>
  <c r="N142" i="3"/>
  <c r="W142" i="3"/>
  <c r="Y142" i="3"/>
  <c r="AA142" i="3"/>
  <c r="BE142" i="3"/>
  <c r="BF142" i="3"/>
  <c r="BG142" i="3"/>
  <c r="BH142" i="3"/>
  <c r="BI142" i="3"/>
  <c r="BK142" i="3"/>
  <c r="N143" i="3"/>
  <c r="W143" i="3"/>
  <c r="Y143" i="3"/>
  <c r="AA143" i="3"/>
  <c r="BE143" i="3"/>
  <c r="BF143" i="3"/>
  <c r="BG143" i="3"/>
  <c r="BH143" i="3"/>
  <c r="BI143" i="3"/>
  <c r="BK143" i="3"/>
  <c r="N144" i="3"/>
  <c r="W144" i="3"/>
  <c r="Y144" i="3"/>
  <c r="AA144" i="3"/>
  <c r="BE144" i="3"/>
  <c r="BF144" i="3"/>
  <c r="BG144" i="3"/>
  <c r="BH144" i="3"/>
  <c r="BI144" i="3"/>
  <c r="BK144" i="3"/>
  <c r="N146" i="3"/>
  <c r="W146" i="3"/>
  <c r="Y146" i="3"/>
  <c r="AA146" i="3"/>
  <c r="AA145" i="3"/>
  <c r="BE146" i="3"/>
  <c r="BF146" i="3"/>
  <c r="BG146" i="3"/>
  <c r="BH146" i="3"/>
  <c r="BI146" i="3"/>
  <c r="BK146" i="3"/>
  <c r="N147" i="3"/>
  <c r="W147" i="3"/>
  <c r="W145" i="3"/>
  <c r="Y147" i="3"/>
  <c r="AA147" i="3"/>
  <c r="BE147" i="3"/>
  <c r="BF147" i="3"/>
  <c r="BG147" i="3"/>
  <c r="BH147" i="3"/>
  <c r="BI147" i="3"/>
  <c r="BK147" i="3"/>
  <c r="BK145" i="3"/>
  <c r="N145" i="3"/>
  <c r="N92" i="3"/>
  <c r="N148" i="3"/>
  <c r="W148" i="3"/>
  <c r="Y148" i="3"/>
  <c r="AA148" i="3"/>
  <c r="BE148" i="3"/>
  <c r="BF148" i="3"/>
  <c r="BG148" i="3"/>
  <c r="BH148" i="3"/>
  <c r="BI148" i="3"/>
  <c r="BK148" i="3"/>
  <c r="N149" i="3"/>
  <c r="W149" i="3"/>
  <c r="Y149" i="3"/>
  <c r="AA149" i="3"/>
  <c r="BE149" i="3"/>
  <c r="BF149" i="3"/>
  <c r="BG149" i="3"/>
  <c r="BH149" i="3"/>
  <c r="BI149" i="3"/>
  <c r="BK149" i="3"/>
  <c r="N150" i="3"/>
  <c r="W150" i="3"/>
  <c r="Y150" i="3"/>
  <c r="AA150" i="3"/>
  <c r="BE150" i="3"/>
  <c r="BF150" i="3"/>
  <c r="BG150" i="3"/>
  <c r="BH150" i="3"/>
  <c r="BI150" i="3"/>
  <c r="BK150" i="3"/>
  <c r="N151" i="3"/>
  <c r="W151" i="3"/>
  <c r="Y151" i="3"/>
  <c r="AA151" i="3"/>
  <c r="BE151" i="3"/>
  <c r="BF151" i="3"/>
  <c r="BG151" i="3"/>
  <c r="BH151" i="3"/>
  <c r="BI151" i="3"/>
  <c r="BK151" i="3"/>
  <c r="N152" i="3"/>
  <c r="W152" i="3"/>
  <c r="Y152" i="3"/>
  <c r="AA152" i="3"/>
  <c r="BE152" i="3"/>
  <c r="BF152" i="3"/>
  <c r="BG152" i="3"/>
  <c r="BH152" i="3"/>
  <c r="BI152" i="3"/>
  <c r="BK152" i="3"/>
  <c r="N153" i="3"/>
  <c r="W153" i="3"/>
  <c r="Y153" i="3"/>
  <c r="AA153" i="3"/>
  <c r="BE153" i="3"/>
  <c r="BF153" i="3"/>
  <c r="BG153" i="3"/>
  <c r="BH153" i="3"/>
  <c r="BI153" i="3"/>
  <c r="BK153" i="3"/>
  <c r="AA154" i="3"/>
  <c r="N155" i="3"/>
  <c r="W155" i="3"/>
  <c r="W154" i="3"/>
  <c r="Y155" i="3"/>
  <c r="Y154" i="3"/>
  <c r="AA155" i="3"/>
  <c r="BE155" i="3"/>
  <c r="BF155" i="3"/>
  <c r="BG155" i="3"/>
  <c r="BH155" i="3"/>
  <c r="BI155" i="3"/>
  <c r="BK155" i="3"/>
  <c r="BK154" i="3"/>
  <c r="N154" i="3"/>
  <c r="N93" i="3"/>
  <c r="N156" i="3"/>
  <c r="W156" i="3"/>
  <c r="Y156" i="3"/>
  <c r="AA156" i="3"/>
  <c r="BE156" i="3"/>
  <c r="BF156" i="3"/>
  <c r="BG156" i="3"/>
  <c r="BH156" i="3"/>
  <c r="BI156" i="3"/>
  <c r="BK156" i="3"/>
  <c r="N157" i="3"/>
  <c r="W157" i="3"/>
  <c r="Y157" i="3"/>
  <c r="AA157" i="3"/>
  <c r="BE157" i="3"/>
  <c r="BF157" i="3"/>
  <c r="BG157" i="3"/>
  <c r="BH157" i="3"/>
  <c r="BI157" i="3"/>
  <c r="BK157" i="3"/>
  <c r="N158" i="3"/>
  <c r="W158" i="3"/>
  <c r="Y158" i="3"/>
  <c r="AA158" i="3"/>
  <c r="BE158" i="3"/>
  <c r="BF158" i="3"/>
  <c r="BG158" i="3"/>
  <c r="BH158" i="3"/>
  <c r="BI158" i="3"/>
  <c r="BK158" i="3"/>
  <c r="W160" i="3"/>
  <c r="N161" i="3"/>
  <c r="W161" i="3"/>
  <c r="Y161" i="3"/>
  <c r="AA161" i="3"/>
  <c r="AA160" i="3"/>
  <c r="BE161" i="3"/>
  <c r="BF161" i="3"/>
  <c r="BG161" i="3"/>
  <c r="BH161" i="3"/>
  <c r="BI161" i="3"/>
  <c r="BK161" i="3"/>
  <c r="N162" i="3"/>
  <c r="W162" i="3"/>
  <c r="Y162" i="3"/>
  <c r="Y160" i="3"/>
  <c r="AA162" i="3"/>
  <c r="BE162" i="3"/>
  <c r="BF162" i="3"/>
  <c r="BG162" i="3"/>
  <c r="BH162" i="3"/>
  <c r="BI162" i="3"/>
  <c r="BK162" i="3"/>
  <c r="BK160" i="3"/>
  <c r="N164" i="3"/>
  <c r="W164" i="3"/>
  <c r="Y164" i="3"/>
  <c r="Y163" i="3"/>
  <c r="AA164" i="3"/>
  <c r="AA163" i="3"/>
  <c r="BE164" i="3"/>
  <c r="BF164" i="3"/>
  <c r="BG164" i="3"/>
  <c r="BH164" i="3"/>
  <c r="BI164" i="3"/>
  <c r="BK164" i="3"/>
  <c r="N165" i="3"/>
  <c r="W165" i="3"/>
  <c r="W163" i="3"/>
  <c r="Y165" i="3"/>
  <c r="AA165" i="3"/>
  <c r="BE165" i="3"/>
  <c r="BF165" i="3"/>
  <c r="BG165" i="3"/>
  <c r="BH165" i="3"/>
  <c r="BI165" i="3"/>
  <c r="BK165" i="3"/>
  <c r="BK163" i="3"/>
  <c r="N163" i="3"/>
  <c r="N96" i="3"/>
  <c r="N166" i="3"/>
  <c r="W166" i="3"/>
  <c r="Y166" i="3"/>
  <c r="AA166" i="3"/>
  <c r="BE166" i="3"/>
  <c r="BF166" i="3"/>
  <c r="BG166" i="3"/>
  <c r="BH166" i="3"/>
  <c r="BI166" i="3"/>
  <c r="BK166" i="3"/>
  <c r="N167" i="3"/>
  <c r="W167" i="3"/>
  <c r="Y167" i="3"/>
  <c r="AA167" i="3"/>
  <c r="BE167" i="3"/>
  <c r="BF167" i="3"/>
  <c r="BG167" i="3"/>
  <c r="BH167" i="3"/>
  <c r="BI167" i="3"/>
  <c r="BK167" i="3"/>
  <c r="AA168" i="3"/>
  <c r="N169" i="3"/>
  <c r="W169" i="3"/>
  <c r="W168" i="3"/>
  <c r="Y169" i="3"/>
  <c r="Y168" i="3"/>
  <c r="AA169" i="3"/>
  <c r="BE169" i="3"/>
  <c r="BF169" i="3"/>
  <c r="BG169" i="3"/>
  <c r="BH169" i="3"/>
  <c r="BI169" i="3"/>
  <c r="BK169" i="3"/>
  <c r="BK168" i="3"/>
  <c r="N168" i="3"/>
  <c r="N97" i="3"/>
  <c r="N170" i="3"/>
  <c r="W170" i="3"/>
  <c r="Y170" i="3"/>
  <c r="AA170" i="3"/>
  <c r="BE170" i="3"/>
  <c r="BF170" i="3"/>
  <c r="BG170" i="3"/>
  <c r="BH170" i="3"/>
  <c r="BI170" i="3"/>
  <c r="BK170" i="3"/>
  <c r="N171" i="3"/>
  <c r="W171" i="3"/>
  <c r="Y171" i="3"/>
  <c r="AA171" i="3"/>
  <c r="BE171" i="3"/>
  <c r="BF171" i="3"/>
  <c r="BG171" i="3"/>
  <c r="BH171" i="3"/>
  <c r="BI171" i="3"/>
  <c r="BK171" i="3"/>
  <c r="N172" i="3"/>
  <c r="W172" i="3"/>
  <c r="Y172" i="3"/>
  <c r="AA172" i="3"/>
  <c r="BE172" i="3"/>
  <c r="BF172" i="3"/>
  <c r="BG172" i="3"/>
  <c r="BH172" i="3"/>
  <c r="BI172" i="3"/>
  <c r="BK172" i="3"/>
  <c r="N173" i="3"/>
  <c r="W173" i="3"/>
  <c r="Y173" i="3"/>
  <c r="AA173" i="3"/>
  <c r="BE173" i="3"/>
  <c r="BF173" i="3"/>
  <c r="BG173" i="3"/>
  <c r="BH173" i="3"/>
  <c r="BI173" i="3"/>
  <c r="BK173" i="3"/>
  <c r="N174" i="3"/>
  <c r="W174" i="3"/>
  <c r="Y174" i="3"/>
  <c r="AA174" i="3"/>
  <c r="BE174" i="3"/>
  <c r="BF174" i="3"/>
  <c r="BG174" i="3"/>
  <c r="BH174" i="3"/>
  <c r="BI174" i="3"/>
  <c r="BK174" i="3"/>
  <c r="N175" i="3"/>
  <c r="W175" i="3"/>
  <c r="Y175" i="3"/>
  <c r="AA175" i="3"/>
  <c r="BE175" i="3"/>
  <c r="BF175" i="3"/>
  <c r="BG175" i="3"/>
  <c r="BH175" i="3"/>
  <c r="BI175" i="3"/>
  <c r="BK175" i="3"/>
  <c r="N177" i="3"/>
  <c r="W177" i="3"/>
  <c r="Y177" i="3"/>
  <c r="Y176" i="3"/>
  <c r="AA177" i="3"/>
  <c r="AA176" i="3"/>
  <c r="BE177" i="3"/>
  <c r="BF177" i="3"/>
  <c r="BG177" i="3"/>
  <c r="BH177" i="3"/>
  <c r="BI177" i="3"/>
  <c r="BK177" i="3"/>
  <c r="N178" i="3"/>
  <c r="W178" i="3"/>
  <c r="W176" i="3"/>
  <c r="Y178" i="3"/>
  <c r="AA178" i="3"/>
  <c r="BE178" i="3"/>
  <c r="BF178" i="3"/>
  <c r="BG178" i="3"/>
  <c r="BH178" i="3"/>
  <c r="BI178" i="3"/>
  <c r="BK178" i="3"/>
  <c r="BK176" i="3"/>
  <c r="N176" i="3"/>
  <c r="N98" i="3"/>
  <c r="N179" i="3"/>
  <c r="W179" i="3"/>
  <c r="Y179" i="3"/>
  <c r="AA179" i="3"/>
  <c r="BE179" i="3"/>
  <c r="BF179" i="3"/>
  <c r="BG179" i="3"/>
  <c r="BH179" i="3"/>
  <c r="BI179" i="3"/>
  <c r="BK179" i="3"/>
  <c r="N180" i="3"/>
  <c r="W180" i="3"/>
  <c r="Y180" i="3"/>
  <c r="AA180" i="3"/>
  <c r="BE180" i="3"/>
  <c r="BF180" i="3"/>
  <c r="BG180" i="3"/>
  <c r="BH180" i="3"/>
  <c r="BI180" i="3"/>
  <c r="BK180" i="3"/>
  <c r="N181" i="3"/>
  <c r="W181" i="3"/>
  <c r="Y181" i="3"/>
  <c r="AA181" i="3"/>
  <c r="BE181" i="3"/>
  <c r="BF181" i="3"/>
  <c r="BG181" i="3"/>
  <c r="BH181" i="3"/>
  <c r="BI181" i="3"/>
  <c r="BK181" i="3"/>
  <c r="N182" i="3"/>
  <c r="W182" i="3"/>
  <c r="Y182" i="3"/>
  <c r="AA182" i="3"/>
  <c r="BE182" i="3"/>
  <c r="BF182" i="3"/>
  <c r="BG182" i="3"/>
  <c r="BH182" i="3"/>
  <c r="BI182" i="3"/>
  <c r="BK182" i="3"/>
  <c r="N183" i="3"/>
  <c r="W183" i="3"/>
  <c r="Y183" i="3"/>
  <c r="AA183" i="3"/>
  <c r="BE183" i="3"/>
  <c r="BF183" i="3"/>
  <c r="BG183" i="3"/>
  <c r="BH183" i="3"/>
  <c r="BI183" i="3"/>
  <c r="BK183" i="3"/>
  <c r="N184" i="3"/>
  <c r="W184" i="3"/>
  <c r="Y184" i="3"/>
  <c r="AA184" i="3"/>
  <c r="BE184" i="3"/>
  <c r="BF184" i="3"/>
  <c r="BG184" i="3"/>
  <c r="BH184" i="3"/>
  <c r="BI184" i="3"/>
  <c r="BK184" i="3"/>
  <c r="N185" i="3"/>
  <c r="W185" i="3"/>
  <c r="Y185" i="3"/>
  <c r="AA185" i="3"/>
  <c r="BE185" i="3"/>
  <c r="BF185" i="3"/>
  <c r="BG185" i="3"/>
  <c r="BH185" i="3"/>
  <c r="BI185" i="3"/>
  <c r="BK185" i="3"/>
  <c r="N186" i="3"/>
  <c r="W186" i="3"/>
  <c r="Y186" i="3"/>
  <c r="AA186" i="3"/>
  <c r="BE186" i="3"/>
  <c r="BF186" i="3"/>
  <c r="BG186" i="3"/>
  <c r="BH186" i="3"/>
  <c r="BI186" i="3"/>
  <c r="BK186" i="3"/>
  <c r="N187" i="3"/>
  <c r="W187" i="3"/>
  <c r="Y187" i="3"/>
  <c r="AA187" i="3"/>
  <c r="BE187" i="3"/>
  <c r="BF187" i="3"/>
  <c r="BG187" i="3"/>
  <c r="BH187" i="3"/>
  <c r="BI187" i="3"/>
  <c r="BK187" i="3"/>
  <c r="N188" i="3"/>
  <c r="W188" i="3"/>
  <c r="Y188" i="3"/>
  <c r="AA188" i="3"/>
  <c r="BE188" i="3"/>
  <c r="BF188" i="3"/>
  <c r="BG188" i="3"/>
  <c r="BH188" i="3"/>
  <c r="BI188" i="3"/>
  <c r="BK188" i="3"/>
  <c r="N189" i="3"/>
  <c r="W189" i="3"/>
  <c r="Y189" i="3"/>
  <c r="AA189" i="3"/>
  <c r="BE189" i="3"/>
  <c r="BF189" i="3"/>
  <c r="BG189" i="3"/>
  <c r="BH189" i="3"/>
  <c r="BI189" i="3"/>
  <c r="BK189" i="3"/>
  <c r="N190" i="3"/>
  <c r="W190" i="3"/>
  <c r="Y190" i="3"/>
  <c r="AA190" i="3"/>
  <c r="BE190" i="3"/>
  <c r="BF190" i="3"/>
  <c r="BG190" i="3"/>
  <c r="BH190" i="3"/>
  <c r="BI190" i="3"/>
  <c r="BK190" i="3"/>
  <c r="N191" i="3"/>
  <c r="W191" i="3"/>
  <c r="Y191" i="3"/>
  <c r="AA191" i="3"/>
  <c r="BE191" i="3"/>
  <c r="BF191" i="3"/>
  <c r="BG191" i="3"/>
  <c r="BH191" i="3"/>
  <c r="BI191" i="3"/>
  <c r="BK191" i="3"/>
  <c r="W192" i="3"/>
  <c r="Y192" i="3"/>
  <c r="BK192" i="3"/>
  <c r="N192" i="3"/>
  <c r="N99" i="3"/>
  <c r="N193" i="3"/>
  <c r="W193" i="3"/>
  <c r="Y193" i="3"/>
  <c r="AA193" i="3"/>
  <c r="AA192" i="3"/>
  <c r="BE193" i="3"/>
  <c r="BF193" i="3"/>
  <c r="BG193" i="3"/>
  <c r="BH193" i="3"/>
  <c r="BI193" i="3"/>
  <c r="BK193" i="3"/>
  <c r="Y194" i="3"/>
  <c r="N195" i="3"/>
  <c r="W195" i="3"/>
  <c r="W194" i="3"/>
  <c r="Y195" i="3"/>
  <c r="AA195" i="3"/>
  <c r="BE195" i="3"/>
  <c r="BF195" i="3"/>
  <c r="BG195" i="3"/>
  <c r="BH195" i="3"/>
  <c r="BI195" i="3"/>
  <c r="BK195" i="3"/>
  <c r="BK194" i="3"/>
  <c r="N194" i="3"/>
  <c r="N100" i="3"/>
  <c r="N196" i="3"/>
  <c r="W196" i="3"/>
  <c r="Y196" i="3"/>
  <c r="AA196" i="3"/>
  <c r="AA194" i="3"/>
  <c r="BE196" i="3"/>
  <c r="BF196" i="3"/>
  <c r="BG196" i="3"/>
  <c r="BH196" i="3"/>
  <c r="BI196" i="3"/>
  <c r="BK196" i="3"/>
  <c r="W197" i="3"/>
  <c r="Y197" i="3"/>
  <c r="BK197" i="3"/>
  <c r="N197" i="3"/>
  <c r="N101" i="3"/>
  <c r="N198" i="3"/>
  <c r="W198" i="3"/>
  <c r="Y198" i="3"/>
  <c r="AA198" i="3"/>
  <c r="AA197" i="3"/>
  <c r="BE198" i="3"/>
  <c r="BF198" i="3"/>
  <c r="BG198" i="3"/>
  <c r="BH198" i="3"/>
  <c r="BI198" i="3"/>
  <c r="BK198" i="3"/>
  <c r="Y199" i="3"/>
  <c r="N200" i="3"/>
  <c r="W200" i="3"/>
  <c r="W199" i="3"/>
  <c r="Y200" i="3"/>
  <c r="AA200" i="3"/>
  <c r="BE200" i="3"/>
  <c r="BF200" i="3"/>
  <c r="BG200" i="3"/>
  <c r="BH200" i="3"/>
  <c r="BI200" i="3"/>
  <c r="BK200" i="3"/>
  <c r="BK199" i="3"/>
  <c r="N199" i="3"/>
  <c r="N102" i="3"/>
  <c r="N201" i="3"/>
  <c r="W201" i="3"/>
  <c r="Y201" i="3"/>
  <c r="AA201" i="3"/>
  <c r="AA199" i="3"/>
  <c r="BE201" i="3"/>
  <c r="BF201" i="3"/>
  <c r="BG201" i="3"/>
  <c r="BH201" i="3"/>
  <c r="BI201" i="3"/>
  <c r="BK201" i="3"/>
  <c r="N202" i="3"/>
  <c r="W202" i="3"/>
  <c r="Y202" i="3"/>
  <c r="AA202" i="3"/>
  <c r="BE202" i="3"/>
  <c r="BF202" i="3"/>
  <c r="BG202" i="3"/>
  <c r="BH202" i="3"/>
  <c r="BI202" i="3"/>
  <c r="BK202" i="3"/>
  <c r="N203" i="3"/>
  <c r="W203" i="3"/>
  <c r="Y203" i="3"/>
  <c r="AA203" i="3"/>
  <c r="BE203" i="3"/>
  <c r="BF203" i="3"/>
  <c r="BG203" i="3"/>
  <c r="BH203" i="3"/>
  <c r="BI203" i="3"/>
  <c r="BK203" i="3"/>
  <c r="N204" i="3"/>
  <c r="W204" i="3"/>
  <c r="Y204" i="3"/>
  <c r="AA204" i="3"/>
  <c r="BE204" i="3"/>
  <c r="BF204" i="3"/>
  <c r="BG204" i="3"/>
  <c r="BH204" i="3"/>
  <c r="BI204" i="3"/>
  <c r="BK204" i="3"/>
  <c r="AA205" i="3"/>
  <c r="N206" i="3"/>
  <c r="W206" i="3"/>
  <c r="W205" i="3"/>
  <c r="Y206" i="3"/>
  <c r="Y205" i="3"/>
  <c r="AA206" i="3"/>
  <c r="BE206" i="3"/>
  <c r="BF206" i="3"/>
  <c r="BG206" i="3"/>
  <c r="BH206" i="3"/>
  <c r="BI206" i="3"/>
  <c r="BK206" i="3"/>
  <c r="BK205" i="3"/>
  <c r="N205" i="3"/>
  <c r="N103" i="3"/>
  <c r="N207" i="3"/>
  <c r="W207" i="3"/>
  <c r="Y207" i="3"/>
  <c r="AA207" i="3"/>
  <c r="BE207" i="3"/>
  <c r="BF207" i="3"/>
  <c r="BG207" i="3"/>
  <c r="BH207" i="3"/>
  <c r="BI207" i="3"/>
  <c r="BK207" i="3"/>
  <c r="N208" i="3"/>
  <c r="W208" i="3"/>
  <c r="Y208" i="3"/>
  <c r="AA208" i="3"/>
  <c r="BE208" i="3"/>
  <c r="BF208" i="3"/>
  <c r="BG208" i="3"/>
  <c r="BH208" i="3"/>
  <c r="BI208" i="3"/>
  <c r="BK208" i="3"/>
  <c r="N209" i="3"/>
  <c r="W209" i="3"/>
  <c r="Y209" i="3"/>
  <c r="AA209" i="3"/>
  <c r="BE209" i="3"/>
  <c r="BF209" i="3"/>
  <c r="BG209" i="3"/>
  <c r="BH209" i="3"/>
  <c r="BI209" i="3"/>
  <c r="BK209" i="3"/>
  <c r="N210" i="3"/>
  <c r="W210" i="3"/>
  <c r="Y210" i="3"/>
  <c r="AA210" i="3"/>
  <c r="BE210" i="3"/>
  <c r="BF210" i="3"/>
  <c r="BG210" i="3"/>
  <c r="BH210" i="3"/>
  <c r="BI210" i="3"/>
  <c r="BK210" i="3"/>
  <c r="N211" i="3"/>
  <c r="W211" i="3"/>
  <c r="Y211" i="3"/>
  <c r="AA211" i="3"/>
  <c r="BE211" i="3"/>
  <c r="BF211" i="3"/>
  <c r="BG211" i="3"/>
  <c r="BH211" i="3"/>
  <c r="BI211" i="3"/>
  <c r="BK211" i="3"/>
  <c r="Y212" i="3"/>
  <c r="N213" i="3"/>
  <c r="W213" i="3"/>
  <c r="W212" i="3"/>
  <c r="Y213" i="3"/>
  <c r="AA213" i="3"/>
  <c r="BE213" i="3"/>
  <c r="BF213" i="3"/>
  <c r="BG213" i="3"/>
  <c r="BH213" i="3"/>
  <c r="BI213" i="3"/>
  <c r="BK213" i="3"/>
  <c r="BK212" i="3"/>
  <c r="N212" i="3"/>
  <c r="N104" i="3"/>
  <c r="N214" i="3"/>
  <c r="W214" i="3"/>
  <c r="Y214" i="3"/>
  <c r="AA214" i="3"/>
  <c r="AA212" i="3"/>
  <c r="BE214" i="3"/>
  <c r="BF214" i="3"/>
  <c r="BG214" i="3"/>
  <c r="BH214" i="3"/>
  <c r="BI214" i="3"/>
  <c r="BK214" i="3"/>
  <c r="N215" i="3"/>
  <c r="W215" i="3"/>
  <c r="Y215" i="3"/>
  <c r="AA215" i="3"/>
  <c r="BE215" i="3"/>
  <c r="BF215" i="3"/>
  <c r="BG215" i="3"/>
  <c r="BH215" i="3"/>
  <c r="BI215" i="3"/>
  <c r="BK215" i="3"/>
  <c r="AA216" i="3"/>
  <c r="N217" i="3"/>
  <c r="W217" i="3"/>
  <c r="W216" i="3"/>
  <c r="Y217" i="3"/>
  <c r="Y216" i="3"/>
  <c r="AA217" i="3"/>
  <c r="BE217" i="3"/>
  <c r="BF217" i="3"/>
  <c r="BG217" i="3"/>
  <c r="BH217" i="3"/>
  <c r="BI217" i="3"/>
  <c r="BK217" i="3"/>
  <c r="BK216" i="3"/>
  <c r="N216" i="3"/>
  <c r="N105" i="3"/>
  <c r="N219" i="3"/>
  <c r="W219" i="3"/>
  <c r="Y219" i="3"/>
  <c r="Y218" i="3"/>
  <c r="AA219" i="3"/>
  <c r="AA218" i="3"/>
  <c r="BE219" i="3"/>
  <c r="BF219" i="3"/>
  <c r="BG219" i="3"/>
  <c r="BH219" i="3"/>
  <c r="BI219" i="3"/>
  <c r="BK219" i="3"/>
  <c r="N220" i="3"/>
  <c r="W220" i="3"/>
  <c r="W218" i="3"/>
  <c r="Y220" i="3"/>
  <c r="AA220" i="3"/>
  <c r="BE220" i="3"/>
  <c r="BF220" i="3"/>
  <c r="BG220" i="3"/>
  <c r="BH220" i="3"/>
  <c r="BI220" i="3"/>
  <c r="BK220" i="3"/>
  <c r="BK218" i="3"/>
  <c r="N218" i="3"/>
  <c r="N106" i="3"/>
  <c r="N221" i="3"/>
  <c r="W221" i="3"/>
  <c r="Y221" i="3"/>
  <c r="AA221" i="3"/>
  <c r="BE221" i="3"/>
  <c r="BF221" i="3"/>
  <c r="BG221" i="3"/>
  <c r="BH221" i="3"/>
  <c r="BI221" i="3"/>
  <c r="BK221" i="3"/>
  <c r="N222" i="3"/>
  <c r="W222" i="3"/>
  <c r="Y222" i="3"/>
  <c r="AA222" i="3"/>
  <c r="BE222" i="3"/>
  <c r="BF222" i="3"/>
  <c r="BG222" i="3"/>
  <c r="BH222" i="3"/>
  <c r="BI222" i="3"/>
  <c r="BK222" i="3"/>
  <c r="AA223" i="3"/>
  <c r="N224" i="3"/>
  <c r="W224" i="3"/>
  <c r="W223" i="3"/>
  <c r="Y224" i="3"/>
  <c r="Y223" i="3"/>
  <c r="AA224" i="3"/>
  <c r="BE224" i="3"/>
  <c r="BF224" i="3"/>
  <c r="BG224" i="3"/>
  <c r="BH224" i="3"/>
  <c r="BI224" i="3"/>
  <c r="BK224" i="3"/>
  <c r="BK223" i="3"/>
  <c r="N223" i="3"/>
  <c r="N107" i="3"/>
  <c r="BF226" i="3"/>
  <c r="BG226" i="3"/>
  <c r="BH226" i="3"/>
  <c r="BI226" i="3"/>
  <c r="BK226" i="3"/>
  <c r="BK225" i="3"/>
  <c r="N225" i="3"/>
  <c r="N108" i="3"/>
  <c r="Y159" i="3"/>
  <c r="Y145" i="3"/>
  <c r="Y136" i="3"/>
  <c r="Y135" i="3"/>
  <c r="AA136" i="3"/>
  <c r="AA135" i="3"/>
  <c r="BK159" i="3"/>
  <c r="N159" i="3"/>
  <c r="N94" i="3"/>
  <c r="N160" i="3"/>
  <c r="N95" i="3"/>
  <c r="AA159" i="3"/>
  <c r="W159" i="3"/>
  <c r="Y139" i="3"/>
  <c r="Y159" i="2"/>
  <c r="H32" i="2"/>
  <c r="BC88" i="1"/>
  <c r="BC87" i="1"/>
  <c r="Y136" i="2"/>
  <c r="AA202" i="2"/>
  <c r="M129" i="3"/>
  <c r="M81" i="3"/>
  <c r="H30" i="3"/>
  <c r="BA89" i="1"/>
  <c r="M30" i="3"/>
  <c r="AW89" i="1"/>
  <c r="N226" i="3"/>
  <c r="BE226" i="3"/>
  <c r="BK136" i="3"/>
  <c r="M131" i="3"/>
  <c r="H33" i="3"/>
  <c r="BD89" i="1"/>
  <c r="W217" i="2"/>
  <c r="N137" i="2"/>
  <c r="N90" i="2"/>
  <c r="BK136" i="2"/>
  <c r="M30" i="2"/>
  <c r="AW88" i="1"/>
  <c r="W136" i="2"/>
  <c r="H31" i="2"/>
  <c r="BB88" i="1"/>
  <c r="BB87" i="1"/>
  <c r="AA217" i="2"/>
  <c r="BD87" i="1"/>
  <c r="W32" i="1"/>
  <c r="W139" i="3"/>
  <c r="W136" i="3"/>
  <c r="W135" i="3"/>
  <c r="AU89" i="1"/>
  <c r="H32" i="3"/>
  <c r="BC89" i="1"/>
  <c r="BK223" i="2"/>
  <c r="N223" i="2"/>
  <c r="N106" i="2"/>
  <c r="W223" i="2"/>
  <c r="Y210" i="2"/>
  <c r="W202" i="2"/>
  <c r="W159" i="2"/>
  <c r="BK176" i="2"/>
  <c r="N176" i="2"/>
  <c r="N98" i="2"/>
  <c r="AA176" i="2"/>
  <c r="N160" i="2"/>
  <c r="N95" i="2"/>
  <c r="AA159" i="2"/>
  <c r="AA135" i="2"/>
  <c r="BK145" i="2"/>
  <c r="N145" i="2"/>
  <c r="N92" i="2"/>
  <c r="H30" i="2"/>
  <c r="BA88" i="1"/>
  <c r="Y135" i="2"/>
  <c r="N136" i="2"/>
  <c r="N89" i="2"/>
  <c r="W31" i="1"/>
  <c r="AY87" i="1"/>
  <c r="AX87" i="1"/>
  <c r="W30" i="1"/>
  <c r="N136" i="3"/>
  <c r="N89" i="3"/>
  <c r="BK135" i="3"/>
  <c r="N135" i="3"/>
  <c r="N88" i="3"/>
  <c r="BA87" i="1"/>
  <c r="BK159" i="2"/>
  <c r="N159" i="2"/>
  <c r="N94" i="2"/>
  <c r="W135" i="2"/>
  <c r="AU88" i="1"/>
  <c r="AU87" i="1"/>
  <c r="AW87" i="1"/>
  <c r="AK29" i="1"/>
  <c r="W29" i="1"/>
  <c r="BK135" i="2"/>
  <c r="N135" i="2"/>
  <c r="N88" i="2"/>
  <c r="N111" i="3"/>
  <c r="N113" i="3"/>
  <c r="BE113" i="3"/>
  <c r="N115" i="3"/>
  <c r="BE115" i="3"/>
  <c r="M24" i="3"/>
  <c r="N116" i="3"/>
  <c r="BE116" i="3"/>
  <c r="N112" i="3"/>
  <c r="BE112" i="3"/>
  <c r="N114" i="3"/>
  <c r="BE114" i="3"/>
  <c r="BE111" i="3"/>
  <c r="N110" i="3"/>
  <c r="M24" i="2"/>
  <c r="N111" i="2"/>
  <c r="N113" i="2"/>
  <c r="BE113" i="2"/>
  <c r="N115" i="2"/>
  <c r="BE115" i="2"/>
  <c r="N112" i="2"/>
  <c r="BE112" i="2"/>
  <c r="N114" i="2"/>
  <c r="BE114" i="2"/>
  <c r="N116" i="2"/>
  <c r="BE116" i="2"/>
  <c r="M25" i="3"/>
  <c r="L118" i="3"/>
  <c r="M29" i="3"/>
  <c r="AV89" i="1"/>
  <c r="AT89" i="1"/>
  <c r="H29" i="3"/>
  <c r="AZ89" i="1"/>
  <c r="N110" i="2"/>
  <c r="BE111" i="2"/>
  <c r="M29" i="2"/>
  <c r="AV88" i="1"/>
  <c r="AT88" i="1"/>
  <c r="H29" i="2"/>
  <c r="AZ88" i="1"/>
  <c r="AZ87" i="1"/>
  <c r="M25" i="2"/>
  <c r="L118" i="2"/>
  <c r="AS89" i="1"/>
  <c r="M27" i="3"/>
  <c r="AS88" i="1"/>
  <c r="AS87" i="1"/>
  <c r="M27" i="2"/>
  <c r="L35" i="3"/>
  <c r="AG89" i="1"/>
  <c r="AN89" i="1"/>
  <c r="AV87" i="1"/>
  <c r="AT87" i="1"/>
  <c r="AG88" i="1"/>
  <c r="L35" i="2"/>
  <c r="AN88" i="1"/>
  <c r="AG87" i="1"/>
  <c r="AK23" i="1"/>
  <c r="AG94" i="1"/>
  <c r="AG98" i="1"/>
  <c r="AG102" i="1"/>
  <c r="AG103" i="1"/>
  <c r="AG104" i="1"/>
  <c r="AG95" i="1"/>
  <c r="AG99" i="1"/>
  <c r="AG92" i="1"/>
  <c r="AG96" i="1"/>
  <c r="AG100" i="1"/>
  <c r="AN87" i="1"/>
  <c r="AG93" i="1"/>
  <c r="AG97" i="1"/>
  <c r="AG101" i="1"/>
  <c r="CD97" i="1"/>
  <c r="AV97" i="1"/>
  <c r="BY97" i="1"/>
  <c r="CD93" i="1"/>
  <c r="AV93" i="1"/>
  <c r="BY93" i="1"/>
  <c r="AN101" i="1"/>
  <c r="CD101" i="1"/>
  <c r="AV101" i="1"/>
  <c r="BY101" i="1"/>
  <c r="AV100" i="1"/>
  <c r="BY100" i="1"/>
  <c r="AN100" i="1"/>
  <c r="CD100" i="1"/>
  <c r="CD95" i="1"/>
  <c r="AV95" i="1"/>
  <c r="BY95" i="1"/>
  <c r="CD102" i="1"/>
  <c r="AV102" i="1"/>
  <c r="BY102" i="1"/>
  <c r="AV96" i="1"/>
  <c r="BY96" i="1"/>
  <c r="CD96" i="1"/>
  <c r="AN98" i="1"/>
  <c r="CD98" i="1"/>
  <c r="AV98" i="1"/>
  <c r="BY98" i="1"/>
  <c r="AG91" i="1"/>
  <c r="AV92" i="1"/>
  <c r="BY92" i="1"/>
  <c r="AN92" i="1"/>
  <c r="CD92" i="1"/>
  <c r="CD104" i="1"/>
  <c r="AV104" i="1"/>
  <c r="BY104" i="1"/>
  <c r="CD94" i="1"/>
  <c r="AV94" i="1"/>
  <c r="BY94" i="1"/>
  <c r="CD99" i="1"/>
  <c r="AV99" i="1"/>
  <c r="BY99" i="1"/>
  <c r="CD103" i="1"/>
  <c r="AN103" i="1"/>
  <c r="AV103" i="1"/>
  <c r="BY103" i="1"/>
  <c r="AN99" i="1"/>
  <c r="AN94" i="1"/>
  <c r="W28" i="1"/>
  <c r="AN96" i="1"/>
  <c r="AN93" i="1"/>
  <c r="AN104" i="1"/>
  <c r="AK28" i="1"/>
  <c r="AK24" i="1"/>
  <c r="AK26" i="1"/>
  <c r="AG106" i="1"/>
  <c r="AN102" i="1"/>
  <c r="AN91" i="1"/>
  <c r="AN106" i="1"/>
  <c r="AN95" i="1"/>
  <c r="AN97" i="1"/>
  <c r="AK34" i="1"/>
</calcChain>
</file>

<file path=xl/sharedStrings.xml><?xml version="1.0" encoding="utf-8"?>
<sst xmlns="http://schemas.openxmlformats.org/spreadsheetml/2006/main" count="2436" uniqueCount="407">
  <si>
    <t>2012</t>
  </si>
  <si>
    <t>List obsahuje:</t>
  </si>
  <si>
    <t>1.0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</si>
  <si>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</si>
  <si>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</si>
  <si>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</si>
  <si>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</si>
  <si>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</si>
  <si>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</si>
  <si>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</si>
  <si>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</si>
  <si>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</si>
  <si>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</si>
  <si>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Měnit lze pouze buňky se žlutým podbarvením!
1) na prvním listu Rekapitulace stavby vyplňte v sestavě
    a) Souhrnný list
       - údaje o Zhotoviteli
         (přenesou se do ostatních sestav i v jiných listech)
    b) Rekapitulace objektů
       - potřebné Ostatní náklady
2) na vybraných listech vyplňte v sestavě
    a) Krycí list
       - údaje o Zhotoviteli, pokud se liší od údajů o Zhotoviteli na Souhrnném listu
         (údaje se přenesou do ostatních sestav v daném listu)
    b) Rekapitulace rozpočtu
       - potřebné Ostatní náklady
    c) Rozpočet
       - ceny u položek
       - množství, pokud má žluté podbarvení
       - a v případe potřeby poznámku (ta je v skrytém sloupci)</t>
  </si>
  <si>
    <t>Stavba:</t>
  </si>
  <si>
    <t>Gymnazium_Chodovicka - rekonstrukce toalet a invalidní WC</t>
  </si>
  <si>
    <t>0,1</t>
  </si>
  <si>
    <t>1</t>
  </si>
  <si>
    <t>Místo:</t>
  </si>
  <si>
    <t>Chodovická 2250</t>
  </si>
  <si>
    <t>Datum:</t>
  </si>
  <si>
    <t>17.05.2018</t>
  </si>
  <si>
    <t>10</t>
  </si>
  <si>
    <t>100</t>
  </si>
  <si>
    <t>Objednavatel: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</si>
  <si>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</si>
  <si>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</si>
  <si>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</si>
  <si>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</si>
  <si>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</si>
  <si>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</si>
  <si>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</si>
  <si>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</si>
  <si>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</si>
  <si>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</si>
  <si>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</si>
  <si>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</si>
  <si>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</si>
  <si>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</si>
  <si>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</si>
  <si>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</si>
  <si>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</si>
  <si>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</si>
  <si>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</si>
  <si>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</si>
  <si>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</si>
  <si>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</si>
  <si>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</si>
  <si>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</si>
  <si>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</si>
  <si>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</si>
  <si>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</si>
  <si>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</si>
  <si>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</si>
  <si>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</si>
  <si>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</si>
  <si>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</si>
  <si>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</si>
  <si>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</si>
  <si>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</si>
  <si>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</si>
  <si>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</si>
  <si>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</si>
  <si>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</si>
  <si>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</si>
  <si>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</si>
  <si>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</si>
  <si>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</si>
  <si>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</si>
  <si>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</si>
  <si>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</si>
  <si>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</si>
  <si>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</si>
  <si>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</si>
  <si>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</si>
  <si>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{F50E9C98-1B96-428B-B519-FE12242D40F5}</t>
  </si>
  <si>
    <t>{00000000-0000-0000-0000-000000000000}</t>
  </si>
  <si>
    <t>SO01</t>
  </si>
  <si>
    <t>WC dívky a chlapci</t>
  </si>
  <si>
    <t>{12CC3E76-D160-45C1-9ECC-03ADC2D5C937}</t>
  </si>
  <si>
    <t>SO02</t>
  </si>
  <si>
    <t>WC imobilní</t>
  </si>
  <si>
    <t>{1D0AA651-3E2B-49EE-A85D-705FFFF7A5E7}</t>
  </si>
  <si>
    <t>2) Ostatní náklady ze souhrnného listu</t>
  </si>
  <si>
    <t>Procent. zadání
[% nákladů rozpočtu]</t>
  </si>
  <si>
    <t>Zařazení nákladů</t>
  </si>
  <si>
    <t>Projektové práce</t>
  </si>
  <si>
    <t>stavební čast</t>
  </si>
  <si>
    <t>OSTATNENAKLADY</t>
  </si>
  <si>
    <t>Průzkumné práce</t>
  </si>
  <si>
    <t>Stroje, zařízení, inventář</t>
  </si>
  <si>
    <t>Umělecká díla</t>
  </si>
  <si>
    <t>Vedlejší náklady</t>
  </si>
  <si>
    <t>Ostatní náklady</t>
  </si>
  <si>
    <t>H. Rezerva</t>
  </si>
  <si>
    <t>I. Ostatní investice</t>
  </si>
  <si>
    <t>Nehmotný investiční majetek</t>
  </si>
  <si>
    <t>Provozní náklady</t>
  </si>
  <si>
    <t>Vyplň vlastní</t>
  </si>
  <si>
    <t>OSTATNENAKLADYVLASTNE</t>
  </si>
  <si>
    <t>Celkové náklady za stavbu 1) + 2)</t>
  </si>
  <si>
    <t>Zpět na list:</t>
  </si>
  <si>
    <t>2</t>
  </si>
  <si>
    <t>KRYCÍ LIST ROZPOČTU</t>
  </si>
  <si>
    <t>Objekt:</t>
  </si>
  <si>
    <t>SO01 - WC dívky a chlapci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</si>
  <si>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</si>
  <si>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</si>
  <si>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</si>
  <si>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</si>
  <si>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</si>
  <si>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</si>
  <si>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</si>
  <si>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</si>
  <si>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</si>
  <si>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</si>
  <si>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  99 -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</si>
  <si>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</si>
  <si>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</si>
  <si>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</si>
  <si>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</si>
  <si>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</si>
  <si>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747 - Elektromontáže - kompletace rozvodů</t>
  </si>
  <si>
    <t xml:space="preserve">    748 - Elektromontáže - osvětlovací zařízení a svítidla</t>
  </si>
  <si>
    <t xml:space="preserve">    751 - Vzduchotechnika</t>
  </si>
  <si>
    <t xml:space="preserve">    766 - Konstrukce truhlářské</t>
  </si>
  <si>
    <t xml:space="preserve">    771 - Podlahy z dlaždic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</si>
  <si>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</si>
  <si>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</si>
  <si>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</si>
  <si>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NEZ - Nezařazené</t>
  </si>
  <si>
    <t>VP -   Vícepráce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</si>
  <si>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</si>
  <si>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</si>
  <si>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</si>
  <si>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</si>
  <si>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</si>
  <si>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</si>
  <si>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</si>
  <si>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činnosť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</si>
  <si>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</si>
  <si>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</si>
  <si>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</si>
  <si>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</si>
  <si>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</si>
  <si>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</si>
  <si>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</si>
  <si>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</si>
  <si>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</si>
  <si>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</si>
  <si>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</si>
  <si>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</si>
  <si>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</si>
  <si>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</si>
  <si>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</si>
  <si>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</si>
  <si>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>ROZPOCET</t>
  </si>
  <si>
    <t>K</t>
  </si>
  <si>
    <t>342272148</t>
  </si>
  <si>
    <t>Příčky tl 50 mm z pórobetonových přesných hladkých příčkovek objemové hmotnosti 500 kg/m3</t>
  </si>
  <si>
    <t>m2</t>
  </si>
  <si>
    <t>16</t>
  </si>
  <si>
    <t>612135001</t>
  </si>
  <si>
    <t>Vyrovnání podkladu vnitřních stěn maltou vápenocementovou tl do 10 mm</t>
  </si>
  <si>
    <t>3</t>
  </si>
  <si>
    <t>612142001</t>
  </si>
  <si>
    <t>Potažení vnitřních stěn sklovláknitým pletivem vtlačeným do tenkovrstvé hmoty</t>
  </si>
  <si>
    <t>4</t>
  </si>
  <si>
    <t>612311121</t>
  </si>
  <si>
    <t>Vápenná omítka hladká jednovrstvá vnitřních stěn nanášená ručně</t>
  </si>
  <si>
    <t>5</t>
  </si>
  <si>
    <t>632452431</t>
  </si>
  <si>
    <t>Doplnění cementového potěru hlazeného pl do 4 m2 tl do 30 mm</t>
  </si>
  <si>
    <t>6</t>
  </si>
  <si>
    <t>642942111</t>
  </si>
  <si>
    <t>Osazování zárubní nebo rámů dveřních kovových do 2,5 m2 na MC</t>
  </si>
  <si>
    <t>kus</t>
  </si>
  <si>
    <t>7</t>
  </si>
  <si>
    <t>952901111</t>
  </si>
  <si>
    <t>Vyčištění budov bytové a občanské výstavby při výšce podlaží do 4 m</t>
  </si>
  <si>
    <t>8</t>
  </si>
  <si>
    <t>962032231</t>
  </si>
  <si>
    <t>Bourání zdiva z cihel pálených nebo vápenopískových na MV nebo MVC</t>
  </si>
  <si>
    <t>m3</t>
  </si>
  <si>
    <t>9</t>
  </si>
  <si>
    <t>965042131</t>
  </si>
  <si>
    <t>Bourání podkladů pod dlažby nebo mazanin betonových nebo z litého asfaltu tl do 100 mm pl do 4 m2</t>
  </si>
  <si>
    <t>965081213</t>
  </si>
  <si>
    <t>Bourání podlah z dlaždic keramických nebo xylolitových tl do 10 mm plochy přes 1 m2</t>
  </si>
  <si>
    <t>11</t>
  </si>
  <si>
    <t>968072455</t>
  </si>
  <si>
    <t>Vybourání kovových dveřních zárubní pl do 2 m2</t>
  </si>
  <si>
    <t>12</t>
  </si>
  <si>
    <t>969011121</t>
  </si>
  <si>
    <t>Vybourání vodovodního nebo plynového vedení DN do 52</t>
  </si>
  <si>
    <t>m</t>
  </si>
  <si>
    <t>13</t>
  </si>
  <si>
    <t>969021121</t>
  </si>
  <si>
    <t>Vybourání kanalizačního potrubí DN do 200</t>
  </si>
  <si>
    <t>14</t>
  </si>
  <si>
    <t>978059541</t>
  </si>
  <si>
    <t>Odsekání a odebrání obkladů stěn z vnitřních obkládaček plochy přes 1 m2</t>
  </si>
  <si>
    <t>997013501</t>
  </si>
  <si>
    <t>Odvoz suti na skládku a vybouraných hmot nebo meziskládku do 1 km se složením</t>
  </si>
  <si>
    <t>t</t>
  </si>
  <si>
    <t>997013509</t>
  </si>
  <si>
    <t>Příplatek k odvozu suti a vybouraných hmot na skládku ZKD 1 km přes 1 km</t>
  </si>
  <si>
    <t>17</t>
  </si>
  <si>
    <t>997013831</t>
  </si>
  <si>
    <t>Poplatek za uložení stavebního směsného odpadu na skládce (skládkovné)</t>
  </si>
  <si>
    <t>18</t>
  </si>
  <si>
    <t>998011002</t>
  </si>
  <si>
    <t>Přesun hmot pro budovy zděné v do 12 m</t>
  </si>
  <si>
    <t>19</t>
  </si>
  <si>
    <t>711113117</t>
  </si>
  <si>
    <t xml:space="preserve">Izolace proti zemní vlhkosti vodorovná za studena těsnicí stěrkou </t>
  </si>
  <si>
    <t>20</t>
  </si>
  <si>
    <t>998711102</t>
  </si>
  <si>
    <t>Přesun hmot tonážní pro izolace proti vodě, vlhkosti a plynům v objektech výšky do 12 m</t>
  </si>
  <si>
    <t>721174004</t>
  </si>
  <si>
    <t>Potrubí kanalizační z PP svodné systém HT DN 70</t>
  </si>
  <si>
    <t>22</t>
  </si>
  <si>
    <t>721174006</t>
  </si>
  <si>
    <t>Potrubí kanalizační z PP svodné systém HT DN 125</t>
  </si>
  <si>
    <t>23</t>
  </si>
  <si>
    <t>721290111</t>
  </si>
  <si>
    <t>Zkouška těsnosti potrubí kanalizace vodou do DN 125</t>
  </si>
  <si>
    <t>24</t>
  </si>
  <si>
    <t>998721102</t>
  </si>
  <si>
    <t>Přesun hmot tonážní pro vnitřní kanalizace v objektech v do 12 m</t>
  </si>
  <si>
    <t>25</t>
  </si>
  <si>
    <t>722174002</t>
  </si>
  <si>
    <t>Potrubí vodovodní plastové PPR svar polyfuze PN 16 D 20 x 2,8 mm</t>
  </si>
  <si>
    <t>26</t>
  </si>
  <si>
    <t>722174004</t>
  </si>
  <si>
    <t>Potrubí vodovodní plastové PPR svar polyfuze PN 16 D 32 x 4,4 mm</t>
  </si>
  <si>
    <t>27</t>
  </si>
  <si>
    <t>722181221</t>
  </si>
  <si>
    <t>Ochrana vodovodního potrubí přilepenými tepelně izolačními trubicemi z PE tl do 10 mm DN do 22 mm</t>
  </si>
  <si>
    <t>28</t>
  </si>
  <si>
    <t>722240124</t>
  </si>
  <si>
    <t>Kohout kulový plastový PPR DN 32</t>
  </si>
  <si>
    <t>29</t>
  </si>
  <si>
    <t>722290215</t>
  </si>
  <si>
    <t>Zkouška těsnosti vodovodního potrubí hrdlového nebo přírubového do DN 100</t>
  </si>
  <si>
    <t>30</t>
  </si>
  <si>
    <t>722290234</t>
  </si>
  <si>
    <t>Proplach a dezinfekce vodovodního potrubí do DN 80</t>
  </si>
  <si>
    <t>31</t>
  </si>
  <si>
    <t>998722102</t>
  </si>
  <si>
    <t>Přesun hmot tonážní tonážní pro vnitřní vodovod v objektech v do 12 m</t>
  </si>
  <si>
    <t>32</t>
  </si>
  <si>
    <t>725110811</t>
  </si>
  <si>
    <t>Demontáž klozetů splachovací s nádrží</t>
  </si>
  <si>
    <t>soubor</t>
  </si>
  <si>
    <t>33</t>
  </si>
  <si>
    <t>725112021</t>
  </si>
  <si>
    <t>Klozet keramický závěsný na nosné stěny s hlubokým splachováním odpad vodorovný, včetně splachovače - v nerezovém provedení</t>
  </si>
  <si>
    <t>34</t>
  </si>
  <si>
    <t>725121529</t>
  </si>
  <si>
    <t>Pisoárový záchodek automatický s teplotním spínačem</t>
  </si>
  <si>
    <t>35</t>
  </si>
  <si>
    <t>725122817</t>
  </si>
  <si>
    <t>Demontáž pisoárových stání bez nádrže a jedním záchodkem</t>
  </si>
  <si>
    <t>36</t>
  </si>
  <si>
    <t>725210821R0</t>
  </si>
  <si>
    <t>Demontáž umyvadel včetně výtokových armatur</t>
  </si>
  <si>
    <t>37</t>
  </si>
  <si>
    <t>725211603R0</t>
  </si>
  <si>
    <t>Umyvadlo keramické připevněné na stěnu šrouby bílé bez krytu na sifon 600 mm, včetně baterie</t>
  </si>
  <si>
    <t>38</t>
  </si>
  <si>
    <t>725231203R0</t>
  </si>
  <si>
    <t>Bidet včetně armatur výtokových keramický závěsný se zápachovou uzávěrkou</t>
  </si>
  <si>
    <t>39</t>
  </si>
  <si>
    <t>725291511</t>
  </si>
  <si>
    <t>Doplňky zařízení koupelen a záchodů plastové dávkovač tekutého mýdla na 350 ml</t>
  </si>
  <si>
    <t>40</t>
  </si>
  <si>
    <t>725291521</t>
  </si>
  <si>
    <t>Doplňky zařízení koupelen a záchodů plastové zásobník toaletních papírů</t>
  </si>
  <si>
    <t>41</t>
  </si>
  <si>
    <t>725291531</t>
  </si>
  <si>
    <t>Doplňky zařízení koupelen a záchodů plastové zásobník papírových ručníků</t>
  </si>
  <si>
    <t>42</t>
  </si>
  <si>
    <t>725291701</t>
  </si>
  <si>
    <t>Doplňky zařízení koupelen a záchodů koš</t>
  </si>
  <si>
    <t>43</t>
  </si>
  <si>
    <t>725291R0</t>
  </si>
  <si>
    <t xml:space="preserve">Doplňky zařízení koupelen a záchodů stětka na WC </t>
  </si>
  <si>
    <t>44</t>
  </si>
  <si>
    <t>725291R1</t>
  </si>
  <si>
    <t>Doplňky zařízení koupelen a záchodů zrcadlo</t>
  </si>
  <si>
    <t>45</t>
  </si>
  <si>
    <t>725331111R0</t>
  </si>
  <si>
    <t>Výlevka bez výtokových armatur keramická se sklopnou plastovou mřížkou 425 mm, včetně splachovací nádržky</t>
  </si>
  <si>
    <t>46</t>
  </si>
  <si>
    <t>725813111</t>
  </si>
  <si>
    <t>Ventil rohový + připojovací hadice G 1/2</t>
  </si>
  <si>
    <t>47</t>
  </si>
  <si>
    <t>725821316</t>
  </si>
  <si>
    <t>Baterie dřezové nástěnné pákové s otáčivým plochým ústím a délkou ramínka 300 mm</t>
  </si>
  <si>
    <t>48</t>
  </si>
  <si>
    <t>725980123</t>
  </si>
  <si>
    <t>Dvířka 30/30</t>
  </si>
  <si>
    <t>49</t>
  </si>
  <si>
    <t>998725102</t>
  </si>
  <si>
    <t>Přesun hmot tonážní pro zařizovací předměty v objektech v do 12 m</t>
  </si>
  <si>
    <t>50</t>
  </si>
  <si>
    <t>747111111R0</t>
  </si>
  <si>
    <t>Montáž vypínač nástěnný 1-jednopólový prostředí obyčejné nebo vlhké, včetně vypínače</t>
  </si>
  <si>
    <t>51</t>
  </si>
  <si>
    <t>748123118</t>
  </si>
  <si>
    <t>Demontáž stávajících a montážnových svítidel  přisazených</t>
  </si>
  <si>
    <t>52</t>
  </si>
  <si>
    <t>M</t>
  </si>
  <si>
    <t>348R0</t>
  </si>
  <si>
    <t xml:space="preserve">svítidlo stropní přisazené, zdroj LED </t>
  </si>
  <si>
    <t>53</t>
  </si>
  <si>
    <t>751111013R0</t>
  </si>
  <si>
    <t>Mtž vent ax ntl nástěnného základního D do 300 mm, včetmě ventilátoru</t>
  </si>
  <si>
    <t>54</t>
  </si>
  <si>
    <t>766660002</t>
  </si>
  <si>
    <t>Montáž dveřních křídel otvíravých 1křídlových š přes 0,8 m do ocelové zárubně</t>
  </si>
  <si>
    <t>55</t>
  </si>
  <si>
    <t>553311130</t>
  </si>
  <si>
    <t>zárubeň ocelová pro běžné zdění H 110 600 L/P</t>
  </si>
  <si>
    <t>56</t>
  </si>
  <si>
    <t>553311170</t>
  </si>
  <si>
    <t>zárubeň ocelová pro běžné zdění H 110 800 L/P</t>
  </si>
  <si>
    <t>57</t>
  </si>
  <si>
    <t>611629300R0</t>
  </si>
  <si>
    <t>dveře vnitřní hladké laminované světlý dub plné 1křídlé 60x197 cm,  plná výplň (ne voština),  včetně wc kování</t>
  </si>
  <si>
    <t>58</t>
  </si>
  <si>
    <t>611629340</t>
  </si>
  <si>
    <t>dveře vnitřní hladké laminované světlý dub plné 1křídlé 80x197 cm, plná výplň (ne voština), včetně  kování</t>
  </si>
  <si>
    <t>59</t>
  </si>
  <si>
    <t>766661811</t>
  </si>
  <si>
    <t>Demontáž dveřních křídel</t>
  </si>
  <si>
    <t>60</t>
  </si>
  <si>
    <t>998766102</t>
  </si>
  <si>
    <t>Přesun hmot tonážní pro konstrukce truhlářské v objektech v do 12 m</t>
  </si>
  <si>
    <t>61</t>
  </si>
  <si>
    <t>771573113</t>
  </si>
  <si>
    <t>Montáž podlah keramických režných hladkých lepených do 12 ks/m2</t>
  </si>
  <si>
    <t>62</t>
  </si>
  <si>
    <t>597614100</t>
  </si>
  <si>
    <t>dlaždice keramické slinuté neglazované mrazuvzdorné 29,8 x 29,8 x 0,9 cm</t>
  </si>
  <si>
    <t>63</t>
  </si>
  <si>
    <t>771591111</t>
  </si>
  <si>
    <t>Podlahy penetrace podkladu</t>
  </si>
  <si>
    <t>64</t>
  </si>
  <si>
    <t>771591115</t>
  </si>
  <si>
    <t>Podlahy spárování silikonem</t>
  </si>
  <si>
    <t>65</t>
  </si>
  <si>
    <t>771990112</t>
  </si>
  <si>
    <t>Vyrovnání podkladu samonivelační stěrkou tl 4 mm pevnosti 30 Mpa</t>
  </si>
  <si>
    <t>66</t>
  </si>
  <si>
    <t>998771102</t>
  </si>
  <si>
    <t>Přesun hmot tonážní pro podlahy z dlaždic v objektech v do 12 m</t>
  </si>
  <si>
    <t>67</t>
  </si>
  <si>
    <t>781411111</t>
  </si>
  <si>
    <t>Montáž obkladaček vnitřních pórovinových pravoúhlých do 22 ks/m2 kladených do malty</t>
  </si>
  <si>
    <t>68</t>
  </si>
  <si>
    <t>597610000</t>
  </si>
  <si>
    <t>obkládačky keramické (bílé i barevné) 25 x 33 x 0,7 cm I. j.</t>
  </si>
  <si>
    <t>69</t>
  </si>
  <si>
    <t>998781102</t>
  </si>
  <si>
    <t>Přesun hmot tonážní pro obklady keramické v objektech v do 12 m</t>
  </si>
  <si>
    <t>70</t>
  </si>
  <si>
    <t>783121152R0</t>
  </si>
  <si>
    <t>Nátěry syntetické zárubní, barva dražší lesklý povrch 2x email</t>
  </si>
  <si>
    <t>71</t>
  </si>
  <si>
    <t>784121001</t>
  </si>
  <si>
    <t>Oškrabání malby v mísnostech výšky do 3,80 m</t>
  </si>
  <si>
    <t>72</t>
  </si>
  <si>
    <t>784121011</t>
  </si>
  <si>
    <t>Rozmývání podkladu po oškrabání malby v místnostech výšky do 3,80 m</t>
  </si>
  <si>
    <t>73</t>
  </si>
  <si>
    <t>784181101</t>
  </si>
  <si>
    <t>Základní akrylátová jednonásobná penetrace podkladu v místnostech výšky do 3,80m</t>
  </si>
  <si>
    <t>74</t>
  </si>
  <si>
    <t>784221101</t>
  </si>
  <si>
    <t>Dvojnásobné bílé malby  ze směsí za sucha dobře otěruvzdorných v místnostech do 3,80 m</t>
  </si>
  <si>
    <t>75</t>
  </si>
  <si>
    <t>HZS1292</t>
  </si>
  <si>
    <t xml:space="preserve">Stavební přípomoce, dozdívky a ostatní stavební práce a konstrukce nutné k řádnému dokončení díla    </t>
  </si>
  <si>
    <t>hod</t>
  </si>
  <si>
    <t>VP - Vícepráce</t>
  </si>
  <si>
    <t>PN</t>
  </si>
  <si>
    <t>SO02 - WC imobilní</t>
  </si>
  <si>
    <t>725112001R0</t>
  </si>
  <si>
    <t xml:space="preserve">Kombi klozet keramický pro imobilní, odpad vodorovný, sedátko bez poklopu - dle vyhlášky č. 398/2009 Sb. </t>
  </si>
  <si>
    <t>7251R0</t>
  </si>
  <si>
    <t>Doplňky zařízení koupelen a záchodů - sada madel WC pro imobilní</t>
  </si>
  <si>
    <t>725210821</t>
  </si>
  <si>
    <t>Demontáž umyvadel bez výtokových armatur</t>
  </si>
  <si>
    <t>Umyvadlo keramické připevněné na stěnu šrouby bílé bez krytu na sifon 600 mm, s prostrorem pro cajetí vozíku pod umyvadlo, včetně baterie</t>
  </si>
  <si>
    <t>553311190</t>
  </si>
  <si>
    <t>zárubeň ocelová pro běžné zdění H 110 900 L/P</t>
  </si>
  <si>
    <t>611629360R0</t>
  </si>
  <si>
    <t>dveře vnitřní hladké laminované plné 1křídlé 90x197 cm, plná výplň (ne voština), opatřené madlem pro imobilní o délce 800 mm, včetně wc kování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</si>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</sst>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34" x14ac:knownFonts="1">
    <font>
      <sz val="8"/>
      <name val="Trebuchet MS"/>
      <charset val="238"/>
    </font>
    <font>
      <sz val="8"/>
      <color indexed="43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b/>
      <sz val="12"/>
      <color indexed="55"/>
      <name val="Trebuchet MS"/>
      <charset val="238"/>
    </font>
    <font>
      <b/>
      <sz val="8"/>
      <color indexed="55"/>
      <name val="Trebuchet MS"/>
      <charset val="238"/>
    </font>
    <font>
      <b/>
      <sz val="12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sz val="10"/>
      <color indexed="63"/>
      <name val="Trebuchet MS"/>
      <charset val="238"/>
    </font>
    <font>
      <sz val="10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10"/>
      <color indexed="63"/>
      <name val="Trebuchet MS"/>
      <charset val="238"/>
    </font>
    <font>
      <sz val="10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sz val="11"/>
      <color indexed="55"/>
      <name val="Trebuchet MS"/>
      <charset val="238"/>
    </font>
    <font>
      <sz val="10"/>
      <color indexed="56"/>
      <name val="Trebuchet MS"/>
      <charset val="238"/>
    </font>
    <font>
      <sz val="12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56"/>
      <name val="Trebuchet MS"/>
      <charset val="238"/>
    </font>
    <font>
      <i/>
      <sz val="8"/>
      <color indexed="12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8"/>
      <color theme="10"/>
      <name val="Trebuchet MS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1" fillId="0" borderId="0" applyNumberFormat="0" applyFill="0" applyBorder="0" applyAlignment="0" applyProtection="0">
      <alignment vertical="top" wrapText="1"/>
      <protection locked="0"/>
    </xf>
  </cellStyleXfs>
  <cellXfs count="223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2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3" borderId="0" xfId="0" applyFont="1" applyFill="1" applyAlignment="1">
      <alignment horizontal="left" vertical="center"/>
      <protection locked="0"/>
    </xf>
    <xf numFmtId="49" fontId="8" fillId="3" borderId="0" xfId="0" applyNumberFormat="1" applyFont="1" applyFill="1" applyAlignment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165" fontId="12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top"/>
    </xf>
    <xf numFmtId="0" fontId="0" fillId="0" borderId="14" xfId="0" applyBorder="1" applyAlignment="1" applyProtection="1">
      <alignment horizontal="left" vertical="top"/>
    </xf>
    <xf numFmtId="0" fontId="14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6" fillId="0" borderId="0" xfId="0" applyFont="1" applyAlignment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left" vertical="top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4" fontId="16" fillId="0" borderId="13" xfId="0" applyNumberFormat="1" applyFont="1" applyBorder="1" applyAlignment="1" applyProtection="1">
      <alignment horizontal="right" vertical="center"/>
    </xf>
    <xf numFmtId="164" fontId="16" fillId="0" borderId="0" xfId="0" applyNumberFormat="1" applyFont="1" applyAlignment="1" applyProtection="1">
      <alignment horizontal="right" vertical="center"/>
    </xf>
    <xf numFmtId="167" fontId="16" fillId="0" borderId="0" xfId="0" applyNumberFormat="1" applyFont="1" applyAlignment="1" applyProtection="1">
      <alignment horizontal="right" vertical="center"/>
    </xf>
    <xf numFmtId="164" fontId="16" fillId="0" borderId="14" xfId="0" applyNumberFormat="1" applyFont="1" applyBorder="1" applyAlignment="1" applyProtection="1">
      <alignment horizontal="right" vertical="center"/>
    </xf>
    <xf numFmtId="0" fontId="18" fillId="0" borderId="0" xfId="0" applyFont="1" applyAlignment="1">
      <alignment horizontal="lef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19" fillId="0" borderId="5" xfId="0" applyFont="1" applyBorder="1" applyAlignment="1" applyProtection="1">
      <alignment horizontal="left" vertical="center"/>
    </xf>
    <xf numFmtId="164" fontId="22" fillId="0" borderId="13" xfId="0" applyNumberFormat="1" applyFont="1" applyBorder="1" applyAlignment="1" applyProtection="1">
      <alignment horizontal="right" vertical="center"/>
    </xf>
    <xf numFmtId="164" fontId="22" fillId="0" borderId="0" xfId="0" applyNumberFormat="1" applyFont="1" applyAlignment="1" applyProtection="1">
      <alignment horizontal="right" vertical="center"/>
    </xf>
    <xf numFmtId="167" fontId="22" fillId="0" borderId="0" xfId="0" applyNumberFormat="1" applyFont="1" applyAlignment="1" applyProtection="1">
      <alignment horizontal="right" vertical="center"/>
    </xf>
    <xf numFmtId="164" fontId="22" fillId="0" borderId="14" xfId="0" applyNumberFormat="1" applyFont="1" applyBorder="1" applyAlignment="1" applyProtection="1">
      <alignment horizontal="right" vertical="center"/>
    </xf>
    <xf numFmtId="164" fontId="22" fillId="0" borderId="15" xfId="0" applyNumberFormat="1" applyFont="1" applyBorder="1" applyAlignment="1" applyProtection="1">
      <alignment horizontal="right" vertical="center"/>
    </xf>
    <xf numFmtId="164" fontId="22" fillId="0" borderId="16" xfId="0" applyNumberFormat="1" applyFont="1" applyBorder="1" applyAlignment="1" applyProtection="1">
      <alignment horizontal="right" vertical="center"/>
    </xf>
    <xf numFmtId="167" fontId="22" fillId="0" borderId="16" xfId="0" applyNumberFormat="1" applyFont="1" applyBorder="1" applyAlignment="1" applyProtection="1">
      <alignment horizontal="right" vertical="center"/>
    </xf>
    <xf numFmtId="164" fontId="22" fillId="0" borderId="17" xfId="0" applyNumberFormat="1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165" fontId="14" fillId="3" borderId="10" xfId="0" applyNumberFormat="1" applyFont="1" applyFill="1" applyBorder="1" applyAlignment="1">
      <alignment horizontal="center" vertical="center"/>
      <protection locked="0"/>
    </xf>
    <xf numFmtId="0" fontId="14" fillId="3" borderId="11" xfId="0" applyFont="1" applyFill="1" applyBorder="1" applyAlignment="1">
      <alignment horizontal="center" vertical="center"/>
      <protection locked="0"/>
    </xf>
    <xf numFmtId="164" fontId="14" fillId="0" borderId="12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>
      <alignment horizontal="right" vertical="center"/>
      <protection locked="0"/>
    </xf>
    <xf numFmtId="165" fontId="14" fillId="3" borderId="13" xfId="0" applyNumberFormat="1" applyFont="1" applyFill="1" applyBorder="1" applyAlignment="1">
      <alignment horizontal="center" vertical="center"/>
      <protection locked="0"/>
    </xf>
    <xf numFmtId="0" fontId="14" fillId="3" borderId="0" xfId="0" applyFont="1" applyFill="1" applyAlignment="1">
      <alignment horizontal="center" vertical="center"/>
      <protection locked="0"/>
    </xf>
    <xf numFmtId="164" fontId="14" fillId="0" borderId="14" xfId="0" applyNumberFormat="1" applyFont="1" applyBorder="1" applyAlignment="1" applyProtection="1">
      <alignment horizontal="right" vertical="center"/>
    </xf>
    <xf numFmtId="165" fontId="14" fillId="3" borderId="15" xfId="0" applyNumberFormat="1" applyFont="1" applyFill="1" applyBorder="1" applyAlignment="1">
      <alignment horizontal="center" vertical="center"/>
      <protection locked="0"/>
    </xf>
    <xf numFmtId="0" fontId="14" fillId="3" borderId="16" xfId="0" applyFont="1" applyFill="1" applyBorder="1" applyAlignment="1">
      <alignment horizontal="center" vertical="center"/>
      <protection locked="0"/>
    </xf>
    <xf numFmtId="164" fontId="14" fillId="0" borderId="17" xfId="0" applyNumberFormat="1" applyFont="1" applyBorder="1" applyAlignment="1" applyProtection="1">
      <alignment horizontal="right" vertical="center"/>
    </xf>
    <xf numFmtId="0" fontId="17" fillId="4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6" fillId="4" borderId="9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24" fillId="0" borderId="4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4" fillId="0" borderId="5" xfId="0" applyFont="1" applyBorder="1" applyAlignment="1" applyProtection="1">
      <alignment horizontal="left" vertical="center"/>
    </xf>
    <xf numFmtId="0" fontId="10" fillId="0" borderId="0" xfId="0" applyFont="1" applyAlignment="1">
      <alignment horizontal="left" vertical="center"/>
      <protection locked="0"/>
    </xf>
    <xf numFmtId="0" fontId="23" fillId="0" borderId="4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left" vertical="center"/>
    </xf>
    <xf numFmtId="0" fontId="14" fillId="0" borderId="25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left" vertical="center"/>
    </xf>
    <xf numFmtId="0" fontId="14" fillId="0" borderId="26" xfId="0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167" fontId="25" fillId="0" borderId="11" xfId="0" applyNumberFormat="1" applyFont="1" applyBorder="1" applyAlignment="1" applyProtection="1">
      <alignment horizontal="right"/>
    </xf>
    <xf numFmtId="167" fontId="25" fillId="0" borderId="12" xfId="0" applyNumberFormat="1" applyFont="1" applyBorder="1" applyAlignment="1" applyProtection="1">
      <alignment horizontal="right"/>
    </xf>
    <xf numFmtId="164" fontId="26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7" fillId="0" borderId="4" xfId="0" applyFont="1" applyBorder="1" applyAlignment="1" applyProtection="1">
      <alignment horizontal="left"/>
    </xf>
    <xf numFmtId="0" fontId="27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27" fillId="0" borderId="5" xfId="0" applyFont="1" applyBorder="1" applyAlignment="1" applyProtection="1">
      <alignment horizontal="left"/>
    </xf>
    <xf numFmtId="0" fontId="27" fillId="0" borderId="13" xfId="0" applyFont="1" applyBorder="1" applyAlignment="1" applyProtection="1">
      <alignment horizontal="left"/>
    </xf>
    <xf numFmtId="167" fontId="27" fillId="0" borderId="0" xfId="0" applyNumberFormat="1" applyFont="1" applyAlignment="1" applyProtection="1">
      <alignment horizontal="right"/>
    </xf>
    <xf numFmtId="167" fontId="27" fillId="0" borderId="14" xfId="0" applyNumberFormat="1" applyFont="1" applyBorder="1" applyAlignment="1" applyProtection="1">
      <alignment horizontal="right"/>
    </xf>
    <xf numFmtId="0" fontId="27" fillId="0" borderId="0" xfId="0" applyFont="1" applyAlignment="1">
      <alignment horizontal="left"/>
      <protection locked="0"/>
    </xf>
    <xf numFmtId="164" fontId="27" fillId="0" borderId="0" xfId="0" applyNumberFormat="1" applyFont="1" applyAlignment="1">
      <alignment horizontal="right" vertical="center"/>
      <protection locked="0"/>
    </xf>
    <xf numFmtId="0" fontId="23" fillId="0" borderId="0" xfId="0" applyFont="1" applyAlignment="1" applyProtection="1">
      <alignment horizontal="left"/>
    </xf>
    <xf numFmtId="0" fontId="0" fillId="0" borderId="24" xfId="0" applyFont="1" applyBorder="1" applyAlignment="1" applyProtection="1">
      <alignment horizontal="center" vertical="center"/>
    </xf>
    <xf numFmtId="49" fontId="0" fillId="0" borderId="24" xfId="0" applyNumberFormat="1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center" vertical="center" wrapText="1"/>
    </xf>
    <xf numFmtId="168" fontId="0" fillId="0" borderId="24" xfId="0" applyNumberFormat="1" applyFont="1" applyBorder="1" applyAlignment="1" applyProtection="1">
      <alignment horizontal="right" vertical="center"/>
    </xf>
    <xf numFmtId="0" fontId="12" fillId="3" borderId="24" xfId="0" applyFont="1" applyFill="1" applyBorder="1" applyAlignment="1">
      <alignment horizontal="left" vertical="center"/>
      <protection locked="0"/>
    </xf>
    <xf numFmtId="167" fontId="12" fillId="0" borderId="0" xfId="0" applyNumberFormat="1" applyFont="1" applyAlignment="1" applyProtection="1">
      <alignment horizontal="right" vertical="center"/>
    </xf>
    <xf numFmtId="167" fontId="12" fillId="0" borderId="14" xfId="0" applyNumberFormat="1" applyFont="1" applyBorder="1" applyAlignment="1" applyProtection="1">
      <alignment horizontal="right" vertical="center"/>
    </xf>
    <xf numFmtId="0" fontId="28" fillId="0" borderId="24" xfId="0" applyFont="1" applyBorder="1" applyAlignment="1" applyProtection="1">
      <alignment horizontal="center" vertical="center"/>
    </xf>
    <xf numFmtId="49" fontId="28" fillId="0" borderId="24" xfId="0" applyNumberFormat="1" applyFont="1" applyBorder="1" applyAlignment="1" applyProtection="1">
      <alignment horizontal="left" vertical="center" wrapText="1"/>
    </xf>
    <xf numFmtId="0" fontId="28" fillId="0" borderId="24" xfId="0" applyFont="1" applyBorder="1" applyAlignment="1" applyProtection="1">
      <alignment horizontal="center" vertical="center" wrapText="1"/>
    </xf>
    <xf numFmtId="168" fontId="28" fillId="0" borderId="24" xfId="0" applyNumberFormat="1" applyFont="1" applyBorder="1" applyAlignment="1" applyProtection="1">
      <alignment horizontal="right" vertical="center"/>
    </xf>
    <xf numFmtId="0" fontId="0" fillId="3" borderId="24" xfId="0" applyFont="1" applyFill="1" applyBorder="1" applyAlignment="1">
      <alignment horizontal="center" vertical="center"/>
      <protection locked="0"/>
    </xf>
    <xf numFmtId="49" fontId="0" fillId="3" borderId="24" xfId="0" applyNumberFormat="1" applyFont="1" applyFill="1" applyBorder="1" applyAlignment="1">
      <alignment horizontal="left" vertical="center" wrapText="1"/>
      <protection locked="0"/>
    </xf>
    <xf numFmtId="0" fontId="0" fillId="3" borderId="24" xfId="0" applyFont="1" applyFill="1" applyBorder="1" applyAlignment="1">
      <alignment horizontal="center" vertical="center" wrapText="1"/>
      <protection locked="0"/>
    </xf>
    <xf numFmtId="168" fontId="0" fillId="3" borderId="24" xfId="0" applyNumberFormat="1" applyFont="1" applyFill="1" applyBorder="1" applyAlignment="1">
      <alignment horizontal="right" vertical="center"/>
      <protection locked="0"/>
    </xf>
    <xf numFmtId="0" fontId="12" fillId="3" borderId="24" xfId="0" applyFont="1" applyFill="1" applyBorder="1" applyAlignment="1">
      <alignment horizontal="center" vertical="center"/>
      <protection locked="0"/>
    </xf>
    <xf numFmtId="0" fontId="32" fillId="0" borderId="0" xfId="1" applyFont="1" applyAlignment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29" fillId="2" borderId="0" xfId="0" applyFont="1" applyFill="1" applyAlignment="1" applyProtection="1">
      <alignment horizontal="left" vertical="center"/>
    </xf>
    <xf numFmtId="0" fontId="30" fillId="2" borderId="0" xfId="0" applyFont="1" applyFill="1" applyAlignment="1" applyProtection="1">
      <alignment horizontal="left" vertical="center"/>
    </xf>
    <xf numFmtId="0" fontId="33" fillId="2" borderId="0" xfId="1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top"/>
    </xf>
    <xf numFmtId="164" fontId="17" fillId="4" borderId="0" xfId="0" applyNumberFormat="1" applyFont="1" applyFill="1" applyAlignment="1" applyProtection="1">
      <alignment horizontal="right" vertical="center"/>
    </xf>
    <xf numFmtId="0" fontId="0" fillId="4" borderId="0" xfId="0" applyFill="1" applyAlignment="1" applyProtection="1">
      <alignment horizontal="left" vertical="center"/>
    </xf>
    <xf numFmtId="0" fontId="2" fillId="4" borderId="0" xfId="0" applyFont="1" applyFill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0" fontId="23" fillId="3" borderId="0" xfId="0" applyFont="1" applyFill="1" applyAlignment="1">
      <alignment horizontal="left" vertical="center"/>
      <protection locked="0"/>
    </xf>
    <xf numFmtId="0" fontId="0" fillId="0" borderId="0" xfId="0" applyAlignment="1" applyProtection="1">
      <alignment horizontal="left" vertical="center"/>
    </xf>
    <xf numFmtId="164" fontId="23" fillId="3" borderId="0" xfId="0" applyNumberFormat="1" applyFont="1" applyFill="1" applyAlignment="1">
      <alignment horizontal="right" vertical="center"/>
      <protection locked="0"/>
    </xf>
    <xf numFmtId="164" fontId="23" fillId="0" borderId="0" xfId="0" applyNumberFormat="1" applyFont="1" applyAlignment="1" applyProtection="1">
      <alignment horizontal="right" vertical="center"/>
    </xf>
    <xf numFmtId="164" fontId="17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4" fontId="21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left" vertical="center"/>
    </xf>
    <xf numFmtId="164" fontId="6" fillId="4" borderId="9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6" fillId="0" borderId="10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</xf>
    <xf numFmtId="165" fontId="12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164" fontId="5" fillId="0" borderId="0" xfId="0" applyNumberFormat="1" applyFont="1" applyAlignment="1" applyProtection="1">
      <alignment horizontal="right" vertical="center"/>
    </xf>
    <xf numFmtId="0" fontId="2" fillId="0" borderId="0" xfId="0" applyFont="1" applyAlignment="1">
      <alignment horizontal="center" vertical="center"/>
      <protection locked="0"/>
    </xf>
    <xf numFmtId="0" fontId="0" fillId="0" borderId="0" xfId="0" applyAlignment="1" applyProtection="1">
      <alignment horizontal="left" vertical="top"/>
    </xf>
    <xf numFmtId="0" fontId="5" fillId="0" borderId="0" xfId="0" applyFont="1" applyAlignment="1">
      <alignment horizontal="left" vertical="center" wrapText="1"/>
      <protection locked="0"/>
    </xf>
    <xf numFmtId="0" fontId="12" fillId="0" borderId="0" xfId="0" applyFont="1" applyAlignment="1">
      <alignment horizontal="left" vertical="center"/>
      <protection locked="0"/>
    </xf>
    <xf numFmtId="49" fontId="8" fillId="3" borderId="0" xfId="0" applyNumberFormat="1" applyFont="1" applyFill="1" applyAlignment="1">
      <alignment horizontal="left" vertical="top"/>
      <protection locked="0"/>
    </xf>
    <xf numFmtId="164" fontId="10" fillId="0" borderId="0" xfId="0" applyNumberFormat="1" applyFont="1" applyAlignment="1" applyProtection="1">
      <alignment horizontal="right" vertical="center"/>
    </xf>
    <xf numFmtId="164" fontId="11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164" fontId="23" fillId="0" borderId="0" xfId="0" applyNumberFormat="1" applyFont="1" applyAlignment="1" applyProtection="1">
      <alignment horizontal="right"/>
    </xf>
    <xf numFmtId="0" fontId="27" fillId="0" borderId="0" xfId="0" applyFont="1" applyAlignment="1" applyProtection="1">
      <alignment horizontal="left"/>
    </xf>
    <xf numFmtId="164" fontId="24" fillId="0" borderId="0" xfId="0" applyNumberFormat="1" applyFont="1" applyAlignment="1" applyProtection="1">
      <alignment horizontal="right"/>
    </xf>
    <xf numFmtId="0" fontId="33" fillId="2" borderId="0" xfId="1" applyFont="1" applyFill="1" applyAlignment="1" applyProtection="1">
      <alignment horizontal="center" vertical="center"/>
    </xf>
    <xf numFmtId="0" fontId="0" fillId="3" borderId="24" xfId="0" applyFont="1" applyFill="1" applyBorder="1" applyAlignment="1">
      <alignment horizontal="left" vertical="center" wrapText="1"/>
      <protection locked="0"/>
    </xf>
    <xf numFmtId="0" fontId="0" fillId="3" borderId="24" xfId="0" applyFill="1" applyBorder="1" applyAlignment="1">
      <alignment horizontal="left" vertical="center"/>
      <protection locked="0"/>
    </xf>
    <xf numFmtId="164" fontId="0" fillId="3" borderId="24" xfId="0" applyNumberFormat="1" applyFont="1" applyFill="1" applyBorder="1" applyAlignment="1">
      <alignment horizontal="right" vertical="center"/>
      <protection locked="0"/>
    </xf>
    <xf numFmtId="0" fontId="0" fillId="0" borderId="24" xfId="0" applyBorder="1" applyAlignment="1" applyProtection="1">
      <alignment horizontal="left" vertical="center"/>
    </xf>
    <xf numFmtId="164" fontId="0" fillId="0" borderId="24" xfId="0" applyNumberFormat="1" applyFont="1" applyBorder="1" applyAlignment="1" applyProtection="1">
      <alignment horizontal="right" vertical="center"/>
    </xf>
    <xf numFmtId="164" fontId="17" fillId="0" borderId="0" xfId="0" applyNumberFormat="1" applyFont="1" applyAlignment="1" applyProtection="1">
      <alignment horizontal="right"/>
    </xf>
    <xf numFmtId="0" fontId="0" fillId="0" borderId="24" xfId="0" applyFont="1" applyBorder="1" applyAlignment="1" applyProtection="1">
      <alignment horizontal="left" vertical="center" wrapText="1"/>
    </xf>
    <xf numFmtId="0" fontId="28" fillId="0" borderId="24" xfId="0" applyFont="1" applyBorder="1" applyAlignment="1" applyProtection="1">
      <alignment horizontal="left" vertical="center" wrapText="1"/>
    </xf>
    <xf numFmtId="0" fontId="28" fillId="0" borderId="24" xfId="0" applyFont="1" applyBorder="1" applyAlignment="1" applyProtection="1">
      <alignment horizontal="left" vertical="center"/>
    </xf>
    <xf numFmtId="164" fontId="28" fillId="3" borderId="24" xfId="0" applyNumberFormat="1" applyFont="1" applyFill="1" applyBorder="1" applyAlignment="1">
      <alignment horizontal="right" vertical="center"/>
      <protection locked="0"/>
    </xf>
    <xf numFmtId="164" fontId="28" fillId="0" borderId="24" xfId="0" applyNumberFormat="1" applyFont="1" applyBorder="1" applyAlignment="1" applyProtection="1">
      <alignment horizontal="right" vertical="center"/>
    </xf>
    <xf numFmtId="0" fontId="8" fillId="4" borderId="22" xfId="0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left" vertical="top"/>
    </xf>
    <xf numFmtId="164" fontId="24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8" fillId="4" borderId="0" xfId="0" applyFont="1" applyFill="1" applyAlignment="1" applyProtection="1">
      <alignment horizontal="center" vertical="center"/>
    </xf>
    <xf numFmtId="164" fontId="12" fillId="0" borderId="0" xfId="0" applyNumberFormat="1" applyFont="1" applyAlignment="1" applyProtection="1">
      <alignment horizontal="right" vertical="center"/>
    </xf>
    <xf numFmtId="164" fontId="11" fillId="0" borderId="0" xfId="0" applyNumberFormat="1" applyFont="1" applyAlignment="1" applyProtection="1">
      <alignment horizontal="right" vertical="center"/>
    </xf>
    <xf numFmtId="0" fontId="8" fillId="3" borderId="0" xfId="0" applyFont="1" applyFill="1" applyAlignment="1">
      <alignment horizontal="left" vertical="center"/>
      <protection locked="0"/>
    </xf>
    <xf numFmtId="166" fontId="8" fillId="3" borderId="0" xfId="0" applyNumberFormat="1" applyFont="1" applyFill="1" applyAlignment="1">
      <alignment horizontal="left" vertical="top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7525.tmp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0D04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E63E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5" name="Obrázek 1" descr="C:\KROSplusData\System\Temp\radF7525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49" name="Obrázek 1" descr="C:\KROSplusData\System\Temp\rad00D04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073" name="Obrázek 1" descr="C:\KROSplusData\System\Temp\radCE63E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7"/>
  <sheetViews>
    <sheetView showGridLines="0" tabSelected="1" workbookViewId="0">
      <pane ySplit="1" topLeftCell="A2" activePane="bottomLeft" state="frozenSplit"/>
      <selection pane="bottomLeft"/>
    </sheetView>
  </sheetViews>
  <sheetFormatPr defaultColWidth="10.664062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33" width="2.5" style="2" customWidth="1"/>
    <col min="34" max="34" width="3.33203125" style="2" customWidth="1"/>
    <col min="35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.6640625" style="2" customWidth="1"/>
    <col min="44" max="44" width="10.6640625" style="1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89" width="10.6640625" style="2" hidden="1" customWidth="1"/>
    <col min="90" max="16384" width="10.6640625" style="1"/>
  </cols>
  <sheetData>
    <row r="1" spans="1:256" s="3" customFormat="1" ht="22.5" customHeight="1" x14ac:dyDescent="0.3">
      <c r="A1" s="151" t="s">
        <v>0</v>
      </c>
      <c r="B1" s="152"/>
      <c r="C1" s="152"/>
      <c r="D1" s="153" t="s">
        <v>1</v>
      </c>
      <c r="E1" s="152"/>
      <c r="F1" s="152"/>
      <c r="G1" s="152"/>
      <c r="H1" s="152"/>
      <c r="I1" s="152"/>
      <c r="J1" s="152"/>
      <c r="K1" s="154" t="s">
        <v>400</v>
      </c>
      <c r="L1" s="154"/>
      <c r="M1" s="154"/>
      <c r="N1" s="154"/>
      <c r="O1" s="154"/>
      <c r="P1" s="154"/>
      <c r="Q1" s="154"/>
      <c r="R1" s="154"/>
      <c r="S1" s="154"/>
      <c r="T1" s="152"/>
      <c r="U1" s="152"/>
      <c r="V1" s="152"/>
      <c r="W1" s="154" t="s">
        <v>401</v>
      </c>
      <c r="X1" s="154"/>
      <c r="Y1" s="154"/>
      <c r="Z1" s="154"/>
      <c r="AA1" s="154"/>
      <c r="AB1" s="154"/>
      <c r="AC1" s="154"/>
      <c r="AD1" s="154"/>
      <c r="AE1" s="154"/>
      <c r="AF1" s="154"/>
      <c r="AG1" s="152"/>
      <c r="AH1" s="15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4" t="s">
        <v>2</v>
      </c>
      <c r="BT1" s="4" t="s">
        <v>3</v>
      </c>
      <c r="BU1" s="4" t="s">
        <v>3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87" t="s">
        <v>4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R2" s="158" t="s">
        <v>5</v>
      </c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S2" s="6" t="s">
        <v>6</v>
      </c>
      <c r="BT2" s="6" t="s">
        <v>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6</v>
      </c>
      <c r="BT3" s="6" t="s">
        <v>8</v>
      </c>
    </row>
    <row r="4" spans="1:256" s="2" customFormat="1" ht="37.5" customHeight="1" x14ac:dyDescent="0.3">
      <c r="B4" s="10"/>
      <c r="C4" s="176" t="s">
        <v>9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2"/>
      <c r="AS4" s="13" t="s">
        <v>10</v>
      </c>
      <c r="BE4" s="14" t="s">
        <v>11</v>
      </c>
      <c r="BS4" s="6" t="s">
        <v>12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2"/>
      <c r="BE5" s="189" t="s">
        <v>13</v>
      </c>
      <c r="BS5" s="6" t="s">
        <v>6</v>
      </c>
    </row>
    <row r="6" spans="1:256" s="2" customFormat="1" ht="26.25" customHeight="1" x14ac:dyDescent="0.3">
      <c r="B6" s="10"/>
      <c r="C6" s="11"/>
      <c r="D6" s="15" t="s">
        <v>14</v>
      </c>
      <c r="E6" s="11"/>
      <c r="F6" s="11"/>
      <c r="G6" s="11"/>
      <c r="H6" s="11"/>
      <c r="I6" s="11"/>
      <c r="J6" s="11"/>
      <c r="K6" s="177" t="s">
        <v>15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1"/>
      <c r="AQ6" s="12"/>
      <c r="BE6" s="159"/>
      <c r="BS6" s="6" t="s">
        <v>16</v>
      </c>
    </row>
    <row r="7" spans="1:256" s="2" customFormat="1" ht="7.5" customHeight="1" x14ac:dyDescent="0.3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BE7" s="159"/>
      <c r="BS7" s="6" t="s">
        <v>17</v>
      </c>
    </row>
    <row r="8" spans="1:256" s="2" customFormat="1" ht="15" customHeight="1" x14ac:dyDescent="0.3">
      <c r="B8" s="10"/>
      <c r="C8" s="11"/>
      <c r="D8" s="16" t="s">
        <v>18</v>
      </c>
      <c r="E8" s="11"/>
      <c r="F8" s="11"/>
      <c r="G8" s="11"/>
      <c r="H8" s="11"/>
      <c r="I8" s="11"/>
      <c r="J8" s="11"/>
      <c r="K8" s="17" t="s">
        <v>19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6" t="s">
        <v>20</v>
      </c>
      <c r="AL8" s="11"/>
      <c r="AM8" s="11"/>
      <c r="AN8" s="18" t="s">
        <v>21</v>
      </c>
      <c r="AO8" s="11"/>
      <c r="AP8" s="11"/>
      <c r="AQ8" s="12"/>
      <c r="BE8" s="159"/>
      <c r="BS8" s="6" t="s">
        <v>22</v>
      </c>
    </row>
    <row r="9" spans="1:256" s="2" customFormat="1" ht="15" customHeight="1" x14ac:dyDescent="0.3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  <c r="BE9" s="159"/>
      <c r="BS9" s="6" t="s">
        <v>23</v>
      </c>
    </row>
    <row r="10" spans="1:256" s="2" customFormat="1" ht="15" customHeight="1" x14ac:dyDescent="0.3">
      <c r="B10" s="10"/>
      <c r="C10" s="11"/>
      <c r="D10" s="16" t="s">
        <v>24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6" t="s">
        <v>25</v>
      </c>
      <c r="AL10" s="11"/>
      <c r="AM10" s="11"/>
      <c r="AN10" s="17"/>
      <c r="AO10" s="11"/>
      <c r="AP10" s="11"/>
      <c r="AQ10" s="12"/>
      <c r="BE10" s="159"/>
      <c r="BS10" s="6" t="s">
        <v>16</v>
      </c>
    </row>
    <row r="11" spans="1:256" s="2" customFormat="1" ht="19.5" customHeight="1" x14ac:dyDescent="0.3">
      <c r="B11" s="10"/>
      <c r="C11" s="11"/>
      <c r="D11" s="11"/>
      <c r="E11" s="17" t="s">
        <v>26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6" t="s">
        <v>27</v>
      </c>
      <c r="AL11" s="11"/>
      <c r="AM11" s="11"/>
      <c r="AN11" s="17"/>
      <c r="AO11" s="11"/>
      <c r="AP11" s="11"/>
      <c r="AQ11" s="12"/>
      <c r="BE11" s="159"/>
      <c r="BS11" s="6" t="s">
        <v>16</v>
      </c>
    </row>
    <row r="12" spans="1:256" s="2" customFormat="1" ht="7.5" customHeight="1" x14ac:dyDescent="0.3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2"/>
      <c r="BE12" s="159"/>
      <c r="BS12" s="6" t="s">
        <v>16</v>
      </c>
    </row>
    <row r="13" spans="1:256" s="2" customFormat="1" ht="15" customHeight="1" x14ac:dyDescent="0.3">
      <c r="B13" s="10"/>
      <c r="C13" s="11"/>
      <c r="D13" s="16" t="s">
        <v>28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6" t="s">
        <v>25</v>
      </c>
      <c r="AL13" s="11"/>
      <c r="AM13" s="11"/>
      <c r="AN13" s="19" t="s">
        <v>29</v>
      </c>
      <c r="AO13" s="11"/>
      <c r="AP13" s="11"/>
      <c r="AQ13" s="12"/>
      <c r="BE13" s="159"/>
      <c r="BS13" s="6" t="s">
        <v>16</v>
      </c>
    </row>
    <row r="14" spans="1:256" s="2" customFormat="1" ht="15.75" customHeight="1" x14ac:dyDescent="0.3">
      <c r="B14" s="10"/>
      <c r="C14" s="11"/>
      <c r="D14" s="11"/>
      <c r="E14" s="191" t="s">
        <v>29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6" t="s">
        <v>27</v>
      </c>
      <c r="AL14" s="11"/>
      <c r="AM14" s="11"/>
      <c r="AN14" s="19" t="s">
        <v>29</v>
      </c>
      <c r="AO14" s="11"/>
      <c r="AP14" s="11"/>
      <c r="AQ14" s="12"/>
      <c r="BE14" s="159"/>
      <c r="BS14" s="6" t="s">
        <v>16</v>
      </c>
    </row>
    <row r="15" spans="1:256" s="2" customFormat="1" ht="7.5" customHeight="1" x14ac:dyDescent="0.3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2"/>
      <c r="BE15" s="159"/>
      <c r="BS15" s="6" t="s">
        <v>3</v>
      </c>
    </row>
    <row r="16" spans="1:256" s="2" customFormat="1" ht="15" customHeight="1" x14ac:dyDescent="0.3">
      <c r="B16" s="10"/>
      <c r="C16" s="11"/>
      <c r="D16" s="16" t="s">
        <v>30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6" t="s">
        <v>25</v>
      </c>
      <c r="AL16" s="11"/>
      <c r="AM16" s="11"/>
      <c r="AN16" s="17"/>
      <c r="AO16" s="11"/>
      <c r="AP16" s="11"/>
      <c r="AQ16" s="12"/>
      <c r="BE16" s="159"/>
      <c r="BS16" s="6" t="s">
        <v>3</v>
      </c>
    </row>
    <row r="17" spans="2:71" s="2" customFormat="1" ht="19.5" customHeight="1" x14ac:dyDescent="0.3">
      <c r="B17" s="10"/>
      <c r="C17" s="11"/>
      <c r="D17" s="11"/>
      <c r="E17" s="17" t="s">
        <v>26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6" t="s">
        <v>27</v>
      </c>
      <c r="AL17" s="11"/>
      <c r="AM17" s="11"/>
      <c r="AN17" s="17"/>
      <c r="AO17" s="11"/>
      <c r="AP17" s="11"/>
      <c r="AQ17" s="12"/>
      <c r="BE17" s="159"/>
      <c r="BS17" s="6" t="s">
        <v>31</v>
      </c>
    </row>
    <row r="18" spans="2:71" s="2" customFormat="1" ht="7.5" customHeight="1" x14ac:dyDescent="0.3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2"/>
      <c r="BE18" s="159"/>
      <c r="BS18" s="6" t="s">
        <v>6</v>
      </c>
    </row>
    <row r="19" spans="2:71" s="2" customFormat="1" ht="15" customHeight="1" x14ac:dyDescent="0.3">
      <c r="B19" s="10"/>
      <c r="C19" s="11"/>
      <c r="D19" s="16" t="s">
        <v>32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6" t="s">
        <v>25</v>
      </c>
      <c r="AL19" s="11"/>
      <c r="AM19" s="11"/>
      <c r="AN19" s="17"/>
      <c r="AO19" s="11"/>
      <c r="AP19" s="11"/>
      <c r="AQ19" s="12"/>
      <c r="BE19" s="159"/>
      <c r="BS19" s="6" t="s">
        <v>16</v>
      </c>
    </row>
    <row r="20" spans="2:71" s="2" customFormat="1" ht="19.5" customHeight="1" x14ac:dyDescent="0.3">
      <c r="B20" s="10"/>
      <c r="C20" s="11"/>
      <c r="D20" s="11"/>
      <c r="E20" s="17" t="s">
        <v>26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6" t="s">
        <v>27</v>
      </c>
      <c r="AL20" s="11"/>
      <c r="AM20" s="11"/>
      <c r="AN20" s="17"/>
      <c r="AO20" s="11"/>
      <c r="AP20" s="11"/>
      <c r="AQ20" s="12"/>
      <c r="BE20" s="159"/>
    </row>
    <row r="21" spans="2:71" s="2" customFormat="1" ht="7.5" customHeight="1" x14ac:dyDescent="0.3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2"/>
      <c r="BE21" s="159"/>
    </row>
    <row r="22" spans="2:71" s="2" customFormat="1" ht="7.5" customHeight="1" x14ac:dyDescent="0.3">
      <c r="B22" s="10"/>
      <c r="C22" s="1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11"/>
      <c r="AQ22" s="12"/>
      <c r="BE22" s="159"/>
    </row>
    <row r="23" spans="2:71" s="2" customFormat="1" ht="15" customHeight="1" x14ac:dyDescent="0.3">
      <c r="B23" s="10"/>
      <c r="C23" s="11"/>
      <c r="D23" s="21" t="s">
        <v>33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92">
        <f>ROUNDUP($AG$87,2)</f>
        <v>0</v>
      </c>
      <c r="AL23" s="188"/>
      <c r="AM23" s="188"/>
      <c r="AN23" s="188"/>
      <c r="AO23" s="188"/>
      <c r="AP23" s="11"/>
      <c r="AQ23" s="12"/>
      <c r="BE23" s="159"/>
    </row>
    <row r="24" spans="2:71" s="2" customFormat="1" ht="15" customHeight="1" x14ac:dyDescent="0.3">
      <c r="B24" s="10"/>
      <c r="C24" s="11"/>
      <c r="D24" s="21" t="s">
        <v>34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92">
        <f>ROUNDUP($AG$91,2)</f>
        <v>0</v>
      </c>
      <c r="AL24" s="188"/>
      <c r="AM24" s="188"/>
      <c r="AN24" s="188"/>
      <c r="AO24" s="188"/>
      <c r="AP24" s="11"/>
      <c r="AQ24" s="12"/>
      <c r="BE24" s="159"/>
    </row>
    <row r="25" spans="2:71" s="6" customFormat="1" ht="7.5" customHeight="1" x14ac:dyDescent="0.3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4"/>
      <c r="BE25" s="182"/>
    </row>
    <row r="26" spans="2:71" s="6" customFormat="1" ht="27" customHeight="1" x14ac:dyDescent="0.3">
      <c r="B26" s="22"/>
      <c r="C26" s="23"/>
      <c r="D26" s="25" t="s">
        <v>35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93">
        <f>ROUNDUP($AK$23+$AK$24,2)</f>
        <v>0</v>
      </c>
      <c r="AL26" s="194"/>
      <c r="AM26" s="194"/>
      <c r="AN26" s="194"/>
      <c r="AO26" s="194"/>
      <c r="AP26" s="23"/>
      <c r="AQ26" s="24"/>
      <c r="BE26" s="182"/>
    </row>
    <row r="27" spans="2:71" s="6" customFormat="1" ht="7.5" customHeight="1" x14ac:dyDescent="0.3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4"/>
      <c r="BE27" s="182"/>
    </row>
    <row r="28" spans="2:71" s="6" customFormat="1" ht="15" customHeight="1" x14ac:dyDescent="0.3">
      <c r="B28" s="27"/>
      <c r="C28" s="28"/>
      <c r="D28" s="28" t="s">
        <v>36</v>
      </c>
      <c r="E28" s="28"/>
      <c r="F28" s="28" t="s">
        <v>37</v>
      </c>
      <c r="G28" s="28"/>
      <c r="H28" s="28"/>
      <c r="I28" s="28"/>
      <c r="J28" s="28"/>
      <c r="K28" s="28"/>
      <c r="L28" s="184">
        <v>0.21</v>
      </c>
      <c r="M28" s="185"/>
      <c r="N28" s="185"/>
      <c r="O28" s="185"/>
      <c r="P28" s="28"/>
      <c r="Q28" s="28"/>
      <c r="R28" s="28"/>
      <c r="S28" s="28"/>
      <c r="T28" s="30" t="s">
        <v>38</v>
      </c>
      <c r="U28" s="28"/>
      <c r="V28" s="28"/>
      <c r="W28" s="186">
        <f>ROUNDUP($AZ$87+SUM($CD$92:$CD$105),2)</f>
        <v>0</v>
      </c>
      <c r="X28" s="185"/>
      <c r="Y28" s="185"/>
      <c r="Z28" s="185"/>
      <c r="AA28" s="185"/>
      <c r="AB28" s="185"/>
      <c r="AC28" s="185"/>
      <c r="AD28" s="185"/>
      <c r="AE28" s="185"/>
      <c r="AF28" s="28"/>
      <c r="AG28" s="28"/>
      <c r="AH28" s="28"/>
      <c r="AI28" s="28"/>
      <c r="AJ28" s="28"/>
      <c r="AK28" s="186">
        <f>ROUNDUP($AV$87+SUM($BY$92:$BY$105),1)</f>
        <v>0</v>
      </c>
      <c r="AL28" s="185"/>
      <c r="AM28" s="185"/>
      <c r="AN28" s="185"/>
      <c r="AO28" s="185"/>
      <c r="AP28" s="28"/>
      <c r="AQ28" s="31"/>
      <c r="BE28" s="190"/>
    </row>
    <row r="29" spans="2:71" s="6" customFormat="1" ht="15" customHeight="1" x14ac:dyDescent="0.3">
      <c r="B29" s="27"/>
      <c r="C29" s="28"/>
      <c r="D29" s="28"/>
      <c r="E29" s="28"/>
      <c r="F29" s="28" t="s">
        <v>39</v>
      </c>
      <c r="G29" s="28"/>
      <c r="H29" s="28"/>
      <c r="I29" s="28"/>
      <c r="J29" s="28"/>
      <c r="K29" s="28"/>
      <c r="L29" s="184">
        <v>0.15</v>
      </c>
      <c r="M29" s="185"/>
      <c r="N29" s="185"/>
      <c r="O29" s="185"/>
      <c r="P29" s="28"/>
      <c r="Q29" s="28"/>
      <c r="R29" s="28"/>
      <c r="S29" s="28"/>
      <c r="T29" s="30" t="s">
        <v>38</v>
      </c>
      <c r="U29" s="28"/>
      <c r="V29" s="28"/>
      <c r="W29" s="186">
        <f>ROUNDUP($BA$87+SUM($CE$92:$CE$105),2)</f>
        <v>0</v>
      </c>
      <c r="X29" s="185"/>
      <c r="Y29" s="185"/>
      <c r="Z29" s="185"/>
      <c r="AA29" s="185"/>
      <c r="AB29" s="185"/>
      <c r="AC29" s="185"/>
      <c r="AD29" s="185"/>
      <c r="AE29" s="185"/>
      <c r="AF29" s="28"/>
      <c r="AG29" s="28"/>
      <c r="AH29" s="28"/>
      <c r="AI29" s="28"/>
      <c r="AJ29" s="28"/>
      <c r="AK29" s="186">
        <f>ROUNDUP($AW$87+SUM($BZ$92:$BZ$105),1)</f>
        <v>0</v>
      </c>
      <c r="AL29" s="185"/>
      <c r="AM29" s="185"/>
      <c r="AN29" s="185"/>
      <c r="AO29" s="185"/>
      <c r="AP29" s="28"/>
      <c r="AQ29" s="31"/>
      <c r="BE29" s="190"/>
    </row>
    <row r="30" spans="2:71" s="6" customFormat="1" ht="15" hidden="1" customHeight="1" x14ac:dyDescent="0.3">
      <c r="B30" s="27"/>
      <c r="C30" s="28"/>
      <c r="D30" s="28"/>
      <c r="E30" s="28"/>
      <c r="F30" s="28" t="s">
        <v>40</v>
      </c>
      <c r="G30" s="28"/>
      <c r="H30" s="28"/>
      <c r="I30" s="28"/>
      <c r="J30" s="28"/>
      <c r="K30" s="28"/>
      <c r="L30" s="184">
        <v>0.21</v>
      </c>
      <c r="M30" s="185"/>
      <c r="N30" s="185"/>
      <c r="O30" s="185"/>
      <c r="P30" s="28"/>
      <c r="Q30" s="28"/>
      <c r="R30" s="28"/>
      <c r="S30" s="28"/>
      <c r="T30" s="30" t="s">
        <v>38</v>
      </c>
      <c r="U30" s="28"/>
      <c r="V30" s="28"/>
      <c r="W30" s="186">
        <f>ROUNDUP($BB$87+SUM($CF$92:$CF$105),2)</f>
        <v>0</v>
      </c>
      <c r="X30" s="185"/>
      <c r="Y30" s="185"/>
      <c r="Z30" s="185"/>
      <c r="AA30" s="185"/>
      <c r="AB30" s="185"/>
      <c r="AC30" s="185"/>
      <c r="AD30" s="185"/>
      <c r="AE30" s="185"/>
      <c r="AF30" s="28"/>
      <c r="AG30" s="28"/>
      <c r="AH30" s="28"/>
      <c r="AI30" s="28"/>
      <c r="AJ30" s="28"/>
      <c r="AK30" s="186">
        <v>0</v>
      </c>
      <c r="AL30" s="185"/>
      <c r="AM30" s="185"/>
      <c r="AN30" s="185"/>
      <c r="AO30" s="185"/>
      <c r="AP30" s="28"/>
      <c r="AQ30" s="31"/>
      <c r="BE30" s="190"/>
    </row>
    <row r="31" spans="2:71" s="6" customFormat="1" ht="15" hidden="1" customHeight="1" x14ac:dyDescent="0.3">
      <c r="B31" s="27"/>
      <c r="C31" s="28"/>
      <c r="D31" s="28"/>
      <c r="E31" s="28"/>
      <c r="F31" s="28" t="s">
        <v>41</v>
      </c>
      <c r="G31" s="28"/>
      <c r="H31" s="28"/>
      <c r="I31" s="28"/>
      <c r="J31" s="28"/>
      <c r="K31" s="28"/>
      <c r="L31" s="184">
        <v>0.15</v>
      </c>
      <c r="M31" s="185"/>
      <c r="N31" s="185"/>
      <c r="O31" s="185"/>
      <c r="P31" s="28"/>
      <c r="Q31" s="28"/>
      <c r="R31" s="28"/>
      <c r="S31" s="28"/>
      <c r="T31" s="30" t="s">
        <v>38</v>
      </c>
      <c r="U31" s="28"/>
      <c r="V31" s="28"/>
      <c r="W31" s="186">
        <f>ROUNDUP($BC$87+SUM($CG$92:$CG$105),2)</f>
        <v>0</v>
      </c>
      <c r="X31" s="185"/>
      <c r="Y31" s="185"/>
      <c r="Z31" s="185"/>
      <c r="AA31" s="185"/>
      <c r="AB31" s="185"/>
      <c r="AC31" s="185"/>
      <c r="AD31" s="185"/>
      <c r="AE31" s="185"/>
      <c r="AF31" s="28"/>
      <c r="AG31" s="28"/>
      <c r="AH31" s="28"/>
      <c r="AI31" s="28"/>
      <c r="AJ31" s="28"/>
      <c r="AK31" s="186">
        <v>0</v>
      </c>
      <c r="AL31" s="185"/>
      <c r="AM31" s="185"/>
      <c r="AN31" s="185"/>
      <c r="AO31" s="185"/>
      <c r="AP31" s="28"/>
      <c r="AQ31" s="31"/>
      <c r="BE31" s="190"/>
    </row>
    <row r="32" spans="2:71" s="6" customFormat="1" ht="15" hidden="1" customHeight="1" x14ac:dyDescent="0.3">
      <c r="B32" s="27"/>
      <c r="C32" s="28"/>
      <c r="D32" s="28"/>
      <c r="E32" s="28"/>
      <c r="F32" s="28" t="s">
        <v>42</v>
      </c>
      <c r="G32" s="28"/>
      <c r="H32" s="28"/>
      <c r="I32" s="28"/>
      <c r="J32" s="28"/>
      <c r="K32" s="28"/>
      <c r="L32" s="184">
        <v>0</v>
      </c>
      <c r="M32" s="185"/>
      <c r="N32" s="185"/>
      <c r="O32" s="185"/>
      <c r="P32" s="28"/>
      <c r="Q32" s="28"/>
      <c r="R32" s="28"/>
      <c r="S32" s="28"/>
      <c r="T32" s="30" t="s">
        <v>38</v>
      </c>
      <c r="U32" s="28"/>
      <c r="V32" s="28"/>
      <c r="W32" s="186">
        <f>ROUNDUP($BD$87+SUM($CH$92:$CH$105),2)</f>
        <v>0</v>
      </c>
      <c r="X32" s="185"/>
      <c r="Y32" s="185"/>
      <c r="Z32" s="185"/>
      <c r="AA32" s="185"/>
      <c r="AB32" s="185"/>
      <c r="AC32" s="185"/>
      <c r="AD32" s="185"/>
      <c r="AE32" s="185"/>
      <c r="AF32" s="28"/>
      <c r="AG32" s="28"/>
      <c r="AH32" s="28"/>
      <c r="AI32" s="28"/>
      <c r="AJ32" s="28"/>
      <c r="AK32" s="186">
        <v>0</v>
      </c>
      <c r="AL32" s="185"/>
      <c r="AM32" s="185"/>
      <c r="AN32" s="185"/>
      <c r="AO32" s="185"/>
      <c r="AP32" s="28"/>
      <c r="AQ32" s="31"/>
      <c r="BE32" s="190"/>
    </row>
    <row r="33" spans="2:57" s="6" customFormat="1" ht="7.5" customHeight="1" x14ac:dyDescent="0.3"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4"/>
      <c r="BE33" s="182"/>
    </row>
    <row r="34" spans="2:57" s="6" customFormat="1" ht="27" customHeight="1" x14ac:dyDescent="0.3">
      <c r="B34" s="22"/>
      <c r="C34" s="32"/>
      <c r="D34" s="33" t="s">
        <v>43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5" t="s">
        <v>44</v>
      </c>
      <c r="U34" s="34"/>
      <c r="V34" s="34"/>
      <c r="W34" s="34"/>
      <c r="X34" s="174" t="s">
        <v>45</v>
      </c>
      <c r="Y34" s="171"/>
      <c r="Z34" s="171"/>
      <c r="AA34" s="171"/>
      <c r="AB34" s="171"/>
      <c r="AC34" s="34"/>
      <c r="AD34" s="34"/>
      <c r="AE34" s="34"/>
      <c r="AF34" s="34"/>
      <c r="AG34" s="34"/>
      <c r="AH34" s="34"/>
      <c r="AI34" s="34"/>
      <c r="AJ34" s="34"/>
      <c r="AK34" s="175">
        <f>ROUNDUP(SUM($AK$26:$AK$32),2)</f>
        <v>0</v>
      </c>
      <c r="AL34" s="171"/>
      <c r="AM34" s="171"/>
      <c r="AN34" s="171"/>
      <c r="AO34" s="173"/>
      <c r="AP34" s="32"/>
      <c r="AQ34" s="24"/>
      <c r="BE34" s="182"/>
    </row>
    <row r="35" spans="2:57" s="6" customFormat="1" ht="15" customHeight="1" x14ac:dyDescent="0.3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4"/>
    </row>
    <row r="36" spans="2:57" s="2" customFormat="1" ht="14.25" customHeight="1" x14ac:dyDescent="0.3"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2"/>
    </row>
    <row r="37" spans="2:57" s="2" customFormat="1" ht="14.25" customHeight="1" x14ac:dyDescent="0.3"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2"/>
    </row>
    <row r="38" spans="2:57" s="2" customFormat="1" ht="14.25" customHeight="1" x14ac:dyDescent="0.3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2"/>
    </row>
    <row r="39" spans="2:57" s="2" customFormat="1" ht="14.25" customHeight="1" x14ac:dyDescent="0.3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2"/>
    </row>
    <row r="40" spans="2:57" s="2" customFormat="1" ht="14.25" customHeight="1" x14ac:dyDescent="0.3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2"/>
    </row>
    <row r="41" spans="2:57" s="2" customFormat="1" ht="14.25" customHeight="1" x14ac:dyDescent="0.3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2"/>
    </row>
    <row r="42" spans="2:57" s="2" customFormat="1" ht="14.25" customHeight="1" x14ac:dyDescent="0.3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2"/>
    </row>
    <row r="43" spans="2:57" s="2" customFormat="1" ht="14.25" customHeight="1" x14ac:dyDescent="0.3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2"/>
    </row>
    <row r="44" spans="2:57" s="2" customFormat="1" ht="14.25" customHeight="1" x14ac:dyDescent="0.3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2"/>
    </row>
    <row r="45" spans="2:57" s="2" customFormat="1" ht="14.25" customHeight="1" x14ac:dyDescent="0.3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2"/>
    </row>
    <row r="46" spans="2:57" s="2" customFormat="1" ht="14.25" customHeight="1" x14ac:dyDescent="0.3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2"/>
    </row>
    <row r="47" spans="2:57" s="2" customFormat="1" ht="14.25" customHeight="1" x14ac:dyDescent="0.3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2"/>
    </row>
    <row r="48" spans="2:57" s="2" customFormat="1" ht="14.25" customHeight="1" x14ac:dyDescent="0.3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2"/>
    </row>
    <row r="49" spans="2:43" s="6" customFormat="1" ht="15.75" customHeight="1" x14ac:dyDescent="0.3">
      <c r="B49" s="22"/>
      <c r="C49" s="23"/>
      <c r="D49" s="36" t="s">
        <v>46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8"/>
      <c r="AA49" s="23"/>
      <c r="AB49" s="23"/>
      <c r="AC49" s="36" t="s">
        <v>47</v>
      </c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8"/>
      <c r="AP49" s="23"/>
      <c r="AQ49" s="24"/>
    </row>
    <row r="50" spans="2:43" s="2" customFormat="1" ht="14.25" customHeight="1" x14ac:dyDescent="0.3">
      <c r="B50" s="10"/>
      <c r="C50" s="11"/>
      <c r="D50" s="39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40"/>
      <c r="AA50" s="11"/>
      <c r="AB50" s="11"/>
      <c r="AC50" s="39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40"/>
      <c r="AP50" s="11"/>
      <c r="AQ50" s="12"/>
    </row>
    <row r="51" spans="2:43" s="2" customFormat="1" ht="14.25" customHeight="1" x14ac:dyDescent="0.3">
      <c r="B51" s="10"/>
      <c r="C51" s="11"/>
      <c r="D51" s="39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40"/>
      <c r="AA51" s="11"/>
      <c r="AB51" s="11"/>
      <c r="AC51" s="39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40"/>
      <c r="AP51" s="11"/>
      <c r="AQ51" s="12"/>
    </row>
    <row r="52" spans="2:43" s="2" customFormat="1" ht="14.25" customHeight="1" x14ac:dyDescent="0.3">
      <c r="B52" s="10"/>
      <c r="C52" s="11"/>
      <c r="D52" s="39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40"/>
      <c r="AA52" s="11"/>
      <c r="AB52" s="11"/>
      <c r="AC52" s="39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40"/>
      <c r="AP52" s="11"/>
      <c r="AQ52" s="12"/>
    </row>
    <row r="53" spans="2:43" s="2" customFormat="1" ht="14.25" customHeight="1" x14ac:dyDescent="0.3">
      <c r="B53" s="10"/>
      <c r="C53" s="11"/>
      <c r="D53" s="39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40"/>
      <c r="AA53" s="11"/>
      <c r="AB53" s="11"/>
      <c r="AC53" s="39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40"/>
      <c r="AP53" s="11"/>
      <c r="AQ53" s="12"/>
    </row>
    <row r="54" spans="2:43" s="2" customFormat="1" ht="14.25" customHeight="1" x14ac:dyDescent="0.3">
      <c r="B54" s="10"/>
      <c r="C54" s="11"/>
      <c r="D54" s="39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40"/>
      <c r="AA54" s="11"/>
      <c r="AB54" s="11"/>
      <c r="AC54" s="39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40"/>
      <c r="AP54" s="11"/>
      <c r="AQ54" s="12"/>
    </row>
    <row r="55" spans="2:43" s="2" customFormat="1" ht="14.25" customHeight="1" x14ac:dyDescent="0.3">
      <c r="B55" s="10"/>
      <c r="C55" s="11"/>
      <c r="D55" s="39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40"/>
      <c r="AA55" s="11"/>
      <c r="AB55" s="11"/>
      <c r="AC55" s="39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40"/>
      <c r="AP55" s="11"/>
      <c r="AQ55" s="12"/>
    </row>
    <row r="56" spans="2:43" s="2" customFormat="1" ht="14.25" customHeight="1" x14ac:dyDescent="0.3">
      <c r="B56" s="10"/>
      <c r="C56" s="11"/>
      <c r="D56" s="39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40"/>
      <c r="AA56" s="11"/>
      <c r="AB56" s="11"/>
      <c r="AC56" s="39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40"/>
      <c r="AP56" s="11"/>
      <c r="AQ56" s="12"/>
    </row>
    <row r="57" spans="2:43" s="2" customFormat="1" ht="14.25" customHeight="1" x14ac:dyDescent="0.3">
      <c r="B57" s="10"/>
      <c r="C57" s="11"/>
      <c r="D57" s="39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40"/>
      <c r="AA57" s="11"/>
      <c r="AB57" s="11"/>
      <c r="AC57" s="39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40"/>
      <c r="AP57" s="11"/>
      <c r="AQ57" s="12"/>
    </row>
    <row r="58" spans="2:43" s="6" customFormat="1" ht="15.75" customHeight="1" x14ac:dyDescent="0.3">
      <c r="B58" s="22"/>
      <c r="C58" s="23"/>
      <c r="D58" s="41" t="s">
        <v>48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3" t="s">
        <v>49</v>
      </c>
      <c r="S58" s="42"/>
      <c r="T58" s="42"/>
      <c r="U58" s="42"/>
      <c r="V58" s="42"/>
      <c r="W58" s="42"/>
      <c r="X58" s="42"/>
      <c r="Y58" s="42"/>
      <c r="Z58" s="44"/>
      <c r="AA58" s="23"/>
      <c r="AB58" s="23"/>
      <c r="AC58" s="41" t="s">
        <v>48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3" t="s">
        <v>49</v>
      </c>
      <c r="AN58" s="42"/>
      <c r="AO58" s="44"/>
      <c r="AP58" s="23"/>
      <c r="AQ58" s="24"/>
    </row>
    <row r="59" spans="2:43" s="2" customFormat="1" ht="14.25" customHeight="1" x14ac:dyDescent="0.3"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2"/>
    </row>
    <row r="60" spans="2:43" s="6" customFormat="1" ht="15.75" customHeight="1" x14ac:dyDescent="0.3">
      <c r="B60" s="22"/>
      <c r="C60" s="23"/>
      <c r="D60" s="36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8"/>
      <c r="AA60" s="23"/>
      <c r="AB60" s="23"/>
      <c r="AC60" s="36" t="s">
        <v>51</v>
      </c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8"/>
      <c r="AP60" s="23"/>
      <c r="AQ60" s="24"/>
    </row>
    <row r="61" spans="2:43" s="2" customFormat="1" ht="14.25" customHeight="1" x14ac:dyDescent="0.3">
      <c r="B61" s="10"/>
      <c r="C61" s="11"/>
      <c r="D61" s="39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40"/>
      <c r="AA61" s="11"/>
      <c r="AB61" s="11"/>
      <c r="AC61" s="39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40"/>
      <c r="AP61" s="11"/>
      <c r="AQ61" s="12"/>
    </row>
    <row r="62" spans="2:43" s="2" customFormat="1" ht="14.25" customHeight="1" x14ac:dyDescent="0.3">
      <c r="B62" s="10"/>
      <c r="C62" s="11"/>
      <c r="D62" s="39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40"/>
      <c r="AA62" s="11"/>
      <c r="AB62" s="11"/>
      <c r="AC62" s="39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40"/>
      <c r="AP62" s="11"/>
      <c r="AQ62" s="12"/>
    </row>
    <row r="63" spans="2:43" s="2" customFormat="1" ht="14.25" customHeight="1" x14ac:dyDescent="0.3">
      <c r="B63" s="10"/>
      <c r="C63" s="11"/>
      <c r="D63" s="39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40"/>
      <c r="AA63" s="11"/>
      <c r="AB63" s="11"/>
      <c r="AC63" s="39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40"/>
      <c r="AP63" s="11"/>
      <c r="AQ63" s="12"/>
    </row>
    <row r="64" spans="2:43" s="2" customFormat="1" ht="14.25" customHeight="1" x14ac:dyDescent="0.3">
      <c r="B64" s="10"/>
      <c r="C64" s="11"/>
      <c r="D64" s="39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40"/>
      <c r="AA64" s="11"/>
      <c r="AB64" s="11"/>
      <c r="AC64" s="39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40"/>
      <c r="AP64" s="11"/>
      <c r="AQ64" s="12"/>
    </row>
    <row r="65" spans="2:43" s="2" customFormat="1" ht="14.25" customHeight="1" x14ac:dyDescent="0.3">
      <c r="B65" s="10"/>
      <c r="C65" s="11"/>
      <c r="D65" s="39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40"/>
      <c r="AA65" s="11"/>
      <c r="AB65" s="11"/>
      <c r="AC65" s="39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40"/>
      <c r="AP65" s="11"/>
      <c r="AQ65" s="12"/>
    </row>
    <row r="66" spans="2:43" s="2" customFormat="1" ht="14.25" customHeight="1" x14ac:dyDescent="0.3">
      <c r="B66" s="10"/>
      <c r="C66" s="11"/>
      <c r="D66" s="39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40"/>
      <c r="AA66" s="11"/>
      <c r="AB66" s="11"/>
      <c r="AC66" s="39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40"/>
      <c r="AP66" s="11"/>
      <c r="AQ66" s="12"/>
    </row>
    <row r="67" spans="2:43" s="2" customFormat="1" ht="14.25" customHeight="1" x14ac:dyDescent="0.3">
      <c r="B67" s="10"/>
      <c r="C67" s="11"/>
      <c r="D67" s="39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40"/>
      <c r="AA67" s="11"/>
      <c r="AB67" s="11"/>
      <c r="AC67" s="39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40"/>
      <c r="AP67" s="11"/>
      <c r="AQ67" s="12"/>
    </row>
    <row r="68" spans="2:43" s="2" customFormat="1" ht="14.25" customHeight="1" x14ac:dyDescent="0.3">
      <c r="B68" s="10"/>
      <c r="C68" s="11"/>
      <c r="D68" s="39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40"/>
      <c r="AA68" s="11"/>
      <c r="AB68" s="11"/>
      <c r="AC68" s="39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40"/>
      <c r="AP68" s="11"/>
      <c r="AQ68" s="12"/>
    </row>
    <row r="69" spans="2:43" s="6" customFormat="1" ht="15.75" customHeight="1" x14ac:dyDescent="0.3">
      <c r="B69" s="22"/>
      <c r="C69" s="23"/>
      <c r="D69" s="41" t="s">
        <v>48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3" t="s">
        <v>49</v>
      </c>
      <c r="S69" s="42"/>
      <c r="T69" s="42"/>
      <c r="U69" s="42"/>
      <c r="V69" s="42"/>
      <c r="W69" s="42"/>
      <c r="X69" s="42"/>
      <c r="Y69" s="42"/>
      <c r="Z69" s="44"/>
      <c r="AA69" s="23"/>
      <c r="AB69" s="23"/>
      <c r="AC69" s="41" t="s">
        <v>48</v>
      </c>
      <c r="AD69" s="42"/>
      <c r="AE69" s="42"/>
      <c r="AF69" s="42"/>
      <c r="AG69" s="42"/>
      <c r="AH69" s="42"/>
      <c r="AI69" s="42"/>
      <c r="AJ69" s="42"/>
      <c r="AK69" s="42"/>
      <c r="AL69" s="42"/>
      <c r="AM69" s="43" t="s">
        <v>49</v>
      </c>
      <c r="AN69" s="42"/>
      <c r="AO69" s="44"/>
      <c r="AP69" s="23"/>
      <c r="AQ69" s="24"/>
    </row>
    <row r="70" spans="2:43" s="6" customFormat="1" ht="7.5" customHeight="1" x14ac:dyDescent="0.3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4"/>
    </row>
    <row r="71" spans="2:43" s="6" customFormat="1" ht="7.5" customHeight="1" x14ac:dyDescent="0.3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7"/>
    </row>
    <row r="75" spans="2:43" s="6" customFormat="1" ht="7.5" customHeight="1" x14ac:dyDescent="0.3"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50"/>
    </row>
    <row r="76" spans="2:43" s="6" customFormat="1" ht="37.5" customHeight="1" x14ac:dyDescent="0.3">
      <c r="B76" s="22"/>
      <c r="C76" s="176" t="s">
        <v>52</v>
      </c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24"/>
    </row>
    <row r="77" spans="2:43" s="6" customFormat="1" ht="7.5" customHeight="1" x14ac:dyDescent="0.3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4"/>
    </row>
    <row r="78" spans="2:43" s="51" customFormat="1" ht="27" customHeight="1" x14ac:dyDescent="0.3">
      <c r="B78" s="52"/>
      <c r="C78" s="15" t="s">
        <v>14</v>
      </c>
      <c r="D78" s="15"/>
      <c r="E78" s="15"/>
      <c r="F78" s="15"/>
      <c r="G78" s="15"/>
      <c r="H78" s="15"/>
      <c r="I78" s="15"/>
      <c r="J78" s="15"/>
      <c r="K78" s="15"/>
      <c r="L78" s="177" t="str">
        <f>$K$6</f>
        <v>Gymnazium_Chodovicka - rekonstrukce toalet a invalidní WC</v>
      </c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5"/>
      <c r="AQ78" s="53"/>
    </row>
    <row r="79" spans="2:43" s="6" customFormat="1" ht="7.5" customHeight="1" x14ac:dyDescent="0.3">
      <c r="B79" s="2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4"/>
    </row>
    <row r="80" spans="2:43" s="6" customFormat="1" ht="15.75" customHeight="1" x14ac:dyDescent="0.3">
      <c r="B80" s="22"/>
      <c r="C80" s="16" t="s">
        <v>18</v>
      </c>
      <c r="D80" s="23"/>
      <c r="E80" s="23"/>
      <c r="F80" s="23"/>
      <c r="G80" s="23"/>
      <c r="H80" s="23"/>
      <c r="I80" s="23"/>
      <c r="J80" s="23"/>
      <c r="K80" s="23"/>
      <c r="L80" s="54" t="str">
        <f>IF($K$8="","",$K$8)</f>
        <v>Chodovická 2250</v>
      </c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16" t="s">
        <v>20</v>
      </c>
      <c r="AJ80" s="23"/>
      <c r="AK80" s="23"/>
      <c r="AL80" s="23"/>
      <c r="AM80" s="55" t="str">
        <f>IF($AN$8="","",$AN$8)</f>
        <v>17.05.2018</v>
      </c>
      <c r="AN80" s="23"/>
      <c r="AO80" s="23"/>
      <c r="AP80" s="23"/>
      <c r="AQ80" s="24"/>
    </row>
    <row r="81" spans="1:89" s="6" customFormat="1" ht="7.5" customHeight="1" x14ac:dyDescent="0.3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4"/>
    </row>
    <row r="82" spans="1:89" s="6" customFormat="1" ht="18.75" customHeight="1" x14ac:dyDescent="0.3">
      <c r="B82" s="22"/>
      <c r="C82" s="16" t="s">
        <v>24</v>
      </c>
      <c r="D82" s="23"/>
      <c r="E82" s="23"/>
      <c r="F82" s="23"/>
      <c r="G82" s="23"/>
      <c r="H82" s="23"/>
      <c r="I82" s="23"/>
      <c r="J82" s="23"/>
      <c r="K82" s="23"/>
      <c r="L82" s="17" t="str">
        <f>IF($E$11="","",$E$11)</f>
        <v xml:space="preserve"> </v>
      </c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16" t="s">
        <v>30</v>
      </c>
      <c r="AJ82" s="23"/>
      <c r="AK82" s="23"/>
      <c r="AL82" s="23"/>
      <c r="AM82" s="178" t="str">
        <f>IF($E$17="","",$E$17)</f>
        <v xml:space="preserve"> </v>
      </c>
      <c r="AN82" s="161"/>
      <c r="AO82" s="161"/>
      <c r="AP82" s="161"/>
      <c r="AQ82" s="24"/>
      <c r="AS82" s="179" t="s">
        <v>53</v>
      </c>
      <c r="AT82" s="180"/>
      <c r="AU82" s="56"/>
      <c r="AV82" s="56"/>
      <c r="AW82" s="56"/>
      <c r="AX82" s="56"/>
      <c r="AY82" s="56"/>
      <c r="AZ82" s="56"/>
      <c r="BA82" s="56"/>
      <c r="BB82" s="56"/>
      <c r="BC82" s="56"/>
      <c r="BD82" s="57"/>
    </row>
    <row r="83" spans="1:89" s="6" customFormat="1" ht="15.75" customHeight="1" x14ac:dyDescent="0.3">
      <c r="B83" s="22"/>
      <c r="C83" s="16" t="s">
        <v>28</v>
      </c>
      <c r="D83" s="23"/>
      <c r="E83" s="23"/>
      <c r="F83" s="23"/>
      <c r="G83" s="23"/>
      <c r="H83" s="23"/>
      <c r="I83" s="23"/>
      <c r="J83" s="23"/>
      <c r="K83" s="23"/>
      <c r="L83" s="17" t="str">
        <f>IF($E$14="Vyplň údaj","",$E$14)</f>
        <v/>
      </c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16" t="s">
        <v>32</v>
      </c>
      <c r="AJ83" s="23"/>
      <c r="AK83" s="23"/>
      <c r="AL83" s="23"/>
      <c r="AM83" s="178" t="str">
        <f>IF($E$20="","",$E$20)</f>
        <v xml:space="preserve"> </v>
      </c>
      <c r="AN83" s="161"/>
      <c r="AO83" s="161"/>
      <c r="AP83" s="161"/>
      <c r="AQ83" s="24"/>
      <c r="AS83" s="181"/>
      <c r="AT83" s="182"/>
      <c r="BD83" s="58"/>
    </row>
    <row r="84" spans="1:89" s="6" customFormat="1" ht="12" customHeight="1" x14ac:dyDescent="0.3"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4"/>
      <c r="AS84" s="183"/>
      <c r="AT84" s="161"/>
      <c r="AU84" s="23"/>
      <c r="AV84" s="23"/>
      <c r="AW84" s="23"/>
      <c r="AX84" s="23"/>
      <c r="AY84" s="23"/>
      <c r="AZ84" s="23"/>
      <c r="BA84" s="23"/>
      <c r="BB84" s="23"/>
      <c r="BC84" s="23"/>
      <c r="BD84" s="60"/>
    </row>
    <row r="85" spans="1:89" s="6" customFormat="1" ht="30" customHeight="1" x14ac:dyDescent="0.3">
      <c r="B85" s="22"/>
      <c r="C85" s="170" t="s">
        <v>54</v>
      </c>
      <c r="D85" s="171"/>
      <c r="E85" s="171"/>
      <c r="F85" s="171"/>
      <c r="G85" s="171"/>
      <c r="H85" s="34"/>
      <c r="I85" s="172" t="s">
        <v>55</v>
      </c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2" t="s">
        <v>56</v>
      </c>
      <c r="AH85" s="171"/>
      <c r="AI85" s="171"/>
      <c r="AJ85" s="171"/>
      <c r="AK85" s="171"/>
      <c r="AL85" s="171"/>
      <c r="AM85" s="171"/>
      <c r="AN85" s="172" t="s">
        <v>57</v>
      </c>
      <c r="AO85" s="171"/>
      <c r="AP85" s="173"/>
      <c r="AQ85" s="24"/>
      <c r="AS85" s="61" t="s">
        <v>58</v>
      </c>
      <c r="AT85" s="62" t="s">
        <v>59</v>
      </c>
      <c r="AU85" s="62" t="s">
        <v>60</v>
      </c>
      <c r="AV85" s="62" t="s">
        <v>61</v>
      </c>
      <c r="AW85" s="62" t="s">
        <v>62</v>
      </c>
      <c r="AX85" s="62" t="s">
        <v>63</v>
      </c>
      <c r="AY85" s="62" t="s">
        <v>64</v>
      </c>
      <c r="AZ85" s="62" t="s">
        <v>65</v>
      </c>
      <c r="BA85" s="62" t="s">
        <v>66</v>
      </c>
      <c r="BB85" s="62" t="s">
        <v>67</v>
      </c>
      <c r="BC85" s="62" t="s">
        <v>68</v>
      </c>
      <c r="BD85" s="63" t="s">
        <v>69</v>
      </c>
      <c r="BE85" s="64"/>
    </row>
    <row r="86" spans="1:89" s="6" customFormat="1" ht="12" customHeight="1" x14ac:dyDescent="0.3"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4"/>
      <c r="AS86" s="65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8"/>
    </row>
    <row r="87" spans="1:89" s="51" customFormat="1" ht="33" customHeight="1" x14ac:dyDescent="0.3">
      <c r="B87" s="52"/>
      <c r="C87" s="66" t="s">
        <v>70</v>
      </c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164">
        <f>ROUNDUP(SUM($AG$88:$AG$89),2)</f>
        <v>0</v>
      </c>
      <c r="AH87" s="165"/>
      <c r="AI87" s="165"/>
      <c r="AJ87" s="165"/>
      <c r="AK87" s="165"/>
      <c r="AL87" s="165"/>
      <c r="AM87" s="165"/>
      <c r="AN87" s="164">
        <f>ROUNDUP(SUM($AG$87,$AT$87),2)</f>
        <v>0</v>
      </c>
      <c r="AO87" s="165"/>
      <c r="AP87" s="165"/>
      <c r="AQ87" s="53"/>
      <c r="AS87" s="67">
        <f>ROUNDUP(SUM($AS$88:$AS$89),2)</f>
        <v>0</v>
      </c>
      <c r="AT87" s="68">
        <f>ROUNDUP(SUM($AV$87:$AW$87),1)</f>
        <v>0</v>
      </c>
      <c r="AU87" s="69">
        <f>ROUNDUP(SUM($AU$88:$AU$89),5)</f>
        <v>2237.2629800000004</v>
      </c>
      <c r="AV87" s="68">
        <f>ROUNDUP($AZ$87*$L$28,2)</f>
        <v>0</v>
      </c>
      <c r="AW87" s="68">
        <f>ROUNDUP($BA$87*$L$29,2)</f>
        <v>0</v>
      </c>
      <c r="AX87" s="68">
        <f>ROUNDUP($BB$87*$L$28,2)</f>
        <v>0</v>
      </c>
      <c r="AY87" s="68">
        <f>ROUNDUP($BC$87*$L$29,2)</f>
        <v>0</v>
      </c>
      <c r="AZ87" s="68">
        <f>ROUNDUP(SUM($AZ$88:$AZ$89),2)</f>
        <v>0</v>
      </c>
      <c r="BA87" s="68">
        <f>ROUNDUP(SUM($BA$88:$BA$89),2)</f>
        <v>0</v>
      </c>
      <c r="BB87" s="68">
        <f>ROUNDUP(SUM($BB$88:$BB$89),2)</f>
        <v>0</v>
      </c>
      <c r="BC87" s="68">
        <f>ROUNDUP(SUM($BC$88:$BC$89),2)</f>
        <v>0</v>
      </c>
      <c r="BD87" s="70">
        <f>ROUNDUP(SUM($BD$88:$BD$89),2)</f>
        <v>0</v>
      </c>
      <c r="BS87" s="51" t="s">
        <v>71</v>
      </c>
      <c r="BT87" s="51" t="s">
        <v>72</v>
      </c>
      <c r="BU87" s="71" t="s">
        <v>73</v>
      </c>
      <c r="BV87" s="51" t="s">
        <v>74</v>
      </c>
      <c r="BW87" s="51" t="s">
        <v>75</v>
      </c>
      <c r="BX87" s="51" t="s">
        <v>76</v>
      </c>
    </row>
    <row r="88" spans="1:89" s="72" customFormat="1" ht="28.5" customHeight="1" x14ac:dyDescent="0.3">
      <c r="A88" s="150" t="s">
        <v>402</v>
      </c>
      <c r="B88" s="73"/>
      <c r="C88" s="74"/>
      <c r="D88" s="168" t="s">
        <v>77</v>
      </c>
      <c r="E88" s="169"/>
      <c r="F88" s="169"/>
      <c r="G88" s="169"/>
      <c r="H88" s="169"/>
      <c r="I88" s="74"/>
      <c r="J88" s="168" t="s">
        <v>78</v>
      </c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6">
        <f>'SO01 - WC dívky a chlapci'!$M$27</f>
        <v>0</v>
      </c>
      <c r="AH88" s="167"/>
      <c r="AI88" s="167"/>
      <c r="AJ88" s="167"/>
      <c r="AK88" s="167"/>
      <c r="AL88" s="167"/>
      <c r="AM88" s="167"/>
      <c r="AN88" s="166">
        <f>ROUNDUP(SUM($AG$88,$AT$88),2)</f>
        <v>0</v>
      </c>
      <c r="AO88" s="167"/>
      <c r="AP88" s="167"/>
      <c r="AQ88" s="75"/>
      <c r="AS88" s="76">
        <f>'SO01 - WC dívky a chlapci'!$M$25</f>
        <v>0</v>
      </c>
      <c r="AT88" s="77">
        <f>ROUNDUP(SUM($AV$88:$AW$88),1)</f>
        <v>0</v>
      </c>
      <c r="AU88" s="78">
        <f>'SO01 - WC dívky a chlapci'!$W$135</f>
        <v>2107.258433</v>
      </c>
      <c r="AV88" s="77">
        <f>'SO01 - WC dívky a chlapci'!$M$29</f>
        <v>0</v>
      </c>
      <c r="AW88" s="77">
        <f>'SO01 - WC dívky a chlapci'!$M$30</f>
        <v>0</v>
      </c>
      <c r="AX88" s="77">
        <f>'SO01 - WC dívky a chlapci'!$M$31</f>
        <v>0</v>
      </c>
      <c r="AY88" s="77">
        <f>'SO01 - WC dívky a chlapci'!$M$32</f>
        <v>0</v>
      </c>
      <c r="AZ88" s="77">
        <f>'SO01 - WC dívky a chlapci'!$H$29</f>
        <v>0</v>
      </c>
      <c r="BA88" s="77">
        <f>'SO01 - WC dívky a chlapci'!$H$30</f>
        <v>0</v>
      </c>
      <c r="BB88" s="77">
        <f>'SO01 - WC dívky a chlapci'!$H$31</f>
        <v>0</v>
      </c>
      <c r="BC88" s="77">
        <f>'SO01 - WC dívky a chlapci'!$H$32</f>
        <v>0</v>
      </c>
      <c r="BD88" s="79">
        <f>'SO01 - WC dívky a chlapci'!$H$33</f>
        <v>0</v>
      </c>
      <c r="BT88" s="72" t="s">
        <v>17</v>
      </c>
      <c r="BV88" s="72" t="s">
        <v>74</v>
      </c>
      <c r="BW88" s="72" t="s">
        <v>79</v>
      </c>
      <c r="BX88" s="72" t="s">
        <v>75</v>
      </c>
    </row>
    <row r="89" spans="1:89" s="72" customFormat="1" ht="28.5" customHeight="1" x14ac:dyDescent="0.3">
      <c r="A89" s="150" t="s">
        <v>402</v>
      </c>
      <c r="B89" s="73"/>
      <c r="C89" s="74"/>
      <c r="D89" s="168" t="s">
        <v>80</v>
      </c>
      <c r="E89" s="169"/>
      <c r="F89" s="169"/>
      <c r="G89" s="169"/>
      <c r="H89" s="169"/>
      <c r="I89" s="74"/>
      <c r="J89" s="168" t="s">
        <v>81</v>
      </c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6">
        <f>'SO02 - WC imobilní'!$M$27</f>
        <v>0</v>
      </c>
      <c r="AH89" s="167"/>
      <c r="AI89" s="167"/>
      <c r="AJ89" s="167"/>
      <c r="AK89" s="167"/>
      <c r="AL89" s="167"/>
      <c r="AM89" s="167"/>
      <c r="AN89" s="166">
        <f>ROUNDUP(SUM($AG$89,$AT$89),2)</f>
        <v>0</v>
      </c>
      <c r="AO89" s="167"/>
      <c r="AP89" s="167"/>
      <c r="AQ89" s="75"/>
      <c r="AS89" s="80">
        <f>'SO02 - WC imobilní'!$M$25</f>
        <v>0</v>
      </c>
      <c r="AT89" s="81">
        <f>ROUNDUP(SUM($AV$89:$AW$89),1)</f>
        <v>0</v>
      </c>
      <c r="AU89" s="82">
        <f>'SO02 - WC imobilní'!$W$135</f>
        <v>130.00454099999999</v>
      </c>
      <c r="AV89" s="81">
        <f>'SO02 - WC imobilní'!$M$29</f>
        <v>0</v>
      </c>
      <c r="AW89" s="81">
        <f>'SO02 - WC imobilní'!$M$30</f>
        <v>0</v>
      </c>
      <c r="AX89" s="81">
        <f>'SO02 - WC imobilní'!$M$31</f>
        <v>0</v>
      </c>
      <c r="AY89" s="81">
        <f>'SO02 - WC imobilní'!$M$32</f>
        <v>0</v>
      </c>
      <c r="AZ89" s="81">
        <f>'SO02 - WC imobilní'!$H$29</f>
        <v>0</v>
      </c>
      <c r="BA89" s="81">
        <f>'SO02 - WC imobilní'!$H$30</f>
        <v>0</v>
      </c>
      <c r="BB89" s="81">
        <f>'SO02 - WC imobilní'!$H$31</f>
        <v>0</v>
      </c>
      <c r="BC89" s="81">
        <f>'SO02 - WC imobilní'!$H$32</f>
        <v>0</v>
      </c>
      <c r="BD89" s="83">
        <f>'SO02 - WC imobilní'!$H$33</f>
        <v>0</v>
      </c>
      <c r="BT89" s="72" t="s">
        <v>17</v>
      </c>
      <c r="BV89" s="72" t="s">
        <v>74</v>
      </c>
      <c r="BW89" s="72" t="s">
        <v>82</v>
      </c>
      <c r="BX89" s="72" t="s">
        <v>75</v>
      </c>
    </row>
    <row r="90" spans="1:89" s="2" customFormat="1" ht="14.25" customHeight="1" x14ac:dyDescent="0.3">
      <c r="B90" s="10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2"/>
    </row>
    <row r="91" spans="1:89" s="6" customFormat="1" ht="30.75" customHeight="1" x14ac:dyDescent="0.3">
      <c r="B91" s="22"/>
      <c r="C91" s="66" t="s">
        <v>83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164">
        <f>ROUNDUP(SUM($AG$92:$AG$104),2)</f>
        <v>0</v>
      </c>
      <c r="AH91" s="161"/>
      <c r="AI91" s="161"/>
      <c r="AJ91" s="161"/>
      <c r="AK91" s="161"/>
      <c r="AL91" s="161"/>
      <c r="AM91" s="161"/>
      <c r="AN91" s="164">
        <f>ROUNDUP(SUM($AN$92:$AN$104),2)</f>
        <v>0</v>
      </c>
      <c r="AO91" s="161"/>
      <c r="AP91" s="161"/>
      <c r="AQ91" s="24"/>
      <c r="AS91" s="61" t="s">
        <v>84</v>
      </c>
      <c r="AT91" s="62" t="s">
        <v>85</v>
      </c>
      <c r="AU91" s="62" t="s">
        <v>36</v>
      </c>
      <c r="AV91" s="63" t="s">
        <v>59</v>
      </c>
      <c r="AW91" s="64"/>
    </row>
    <row r="92" spans="1:89" s="6" customFormat="1" ht="21" customHeight="1" x14ac:dyDescent="0.3">
      <c r="B92" s="22"/>
      <c r="C92" s="23"/>
      <c r="D92" s="84" t="s">
        <v>86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162">
        <f>ROUNDUP($AG$87*$AS$92,2)</f>
        <v>0</v>
      </c>
      <c r="AH92" s="161"/>
      <c r="AI92" s="161"/>
      <c r="AJ92" s="161"/>
      <c r="AK92" s="161"/>
      <c r="AL92" s="161"/>
      <c r="AM92" s="161"/>
      <c r="AN92" s="163">
        <f>ROUNDUP($AG$92+$AV$92,2)</f>
        <v>0</v>
      </c>
      <c r="AO92" s="161"/>
      <c r="AP92" s="161"/>
      <c r="AQ92" s="24"/>
      <c r="AS92" s="85">
        <v>0</v>
      </c>
      <c r="AT92" s="86" t="s">
        <v>87</v>
      </c>
      <c r="AU92" s="86" t="s">
        <v>37</v>
      </c>
      <c r="AV92" s="87">
        <f>ROUNDUP(IF($AU$92="základní",$AG$92*$L$28,IF($AU$92="snížená",$AG$92*$L$29,0)),2)</f>
        <v>0</v>
      </c>
      <c r="BV92" s="6" t="s">
        <v>88</v>
      </c>
      <c r="BY92" s="88">
        <f>IF($AU$92="základní",$AV$92,0)</f>
        <v>0</v>
      </c>
      <c r="BZ92" s="88">
        <f>IF($AU$92="snížená",$AV$92,0)</f>
        <v>0</v>
      </c>
      <c r="CA92" s="88">
        <v>0</v>
      </c>
      <c r="CB92" s="88">
        <v>0</v>
      </c>
      <c r="CC92" s="88">
        <v>0</v>
      </c>
      <c r="CD92" s="88">
        <f>IF($AU$92="základní",$AG$92,0)</f>
        <v>0</v>
      </c>
      <c r="CE92" s="88">
        <f>IF($AU$92="snížená",$AG$92,0)</f>
        <v>0</v>
      </c>
      <c r="CF92" s="88">
        <f>IF($AU$92="zákl. přenesená",$AG$92,0)</f>
        <v>0</v>
      </c>
      <c r="CG92" s="88">
        <f>IF($AU$92="sníž. přenesená",$AG$92,0)</f>
        <v>0</v>
      </c>
      <c r="CH92" s="88">
        <f>IF($AU$92="nulová",$AG$92,0)</f>
        <v>0</v>
      </c>
      <c r="CI92" s="6">
        <f>IF($AU$92="základní",1,IF($AU$92="snížená",2,IF($AU$92="zákl. přenesená",4,IF($AU$92="sníž. přenesená",5,3))))</f>
        <v>1</v>
      </c>
      <c r="CJ92" s="6">
        <f>IF($AT$92="stavební čast",1,IF(8892="investiční čast",2,3))</f>
        <v>1</v>
      </c>
      <c r="CK92" s="6" t="str">
        <f>IF($D$92="Vyplň vlastní","","x")</f>
        <v>x</v>
      </c>
    </row>
    <row r="93" spans="1:89" s="6" customFormat="1" ht="21" customHeight="1" x14ac:dyDescent="0.3">
      <c r="B93" s="22"/>
      <c r="C93" s="23"/>
      <c r="D93" s="84" t="s">
        <v>89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162">
        <f>ROUNDUP($AG$87*$AS$93,2)</f>
        <v>0</v>
      </c>
      <c r="AH93" s="161"/>
      <c r="AI93" s="161"/>
      <c r="AJ93" s="161"/>
      <c r="AK93" s="161"/>
      <c r="AL93" s="161"/>
      <c r="AM93" s="161"/>
      <c r="AN93" s="163">
        <f>ROUNDUP($AG$93+$AV$93,2)</f>
        <v>0</v>
      </c>
      <c r="AO93" s="161"/>
      <c r="AP93" s="161"/>
      <c r="AQ93" s="24"/>
      <c r="AS93" s="89">
        <v>0</v>
      </c>
      <c r="AT93" s="90" t="s">
        <v>87</v>
      </c>
      <c r="AU93" s="90" t="s">
        <v>37</v>
      </c>
      <c r="AV93" s="91">
        <f>ROUNDUP(IF($AU$93="základní",$AG$93*$L$28,IF($AU$93="snížená",$AG$93*$L$29,0)),2)</f>
        <v>0</v>
      </c>
      <c r="BV93" s="6" t="s">
        <v>88</v>
      </c>
      <c r="BY93" s="88">
        <f>IF($AU$93="základní",$AV$93,0)</f>
        <v>0</v>
      </c>
      <c r="BZ93" s="88">
        <f>IF($AU$93="snížená",$AV$93,0)</f>
        <v>0</v>
      </c>
      <c r="CA93" s="88">
        <v>0</v>
      </c>
      <c r="CB93" s="88">
        <v>0</v>
      </c>
      <c r="CC93" s="88">
        <v>0</v>
      </c>
      <c r="CD93" s="88">
        <f>IF($AU$93="základní",$AG$93,0)</f>
        <v>0</v>
      </c>
      <c r="CE93" s="88">
        <f>IF($AU$93="snížená",$AG$93,0)</f>
        <v>0</v>
      </c>
      <c r="CF93" s="88">
        <f>IF($AU$93="zákl. přenesená",$AG$93,0)</f>
        <v>0</v>
      </c>
      <c r="CG93" s="88">
        <f>IF($AU$93="sníž. přenesená",$AG$93,0)</f>
        <v>0</v>
      </c>
      <c r="CH93" s="88">
        <f>IF($AU$93="nulová",$AG$93,0)</f>
        <v>0</v>
      </c>
      <c r="CI93" s="6">
        <f>IF($AU$93="základní",1,IF($AU$93="snížená",2,IF($AU$93="zákl. přenesená",4,IF($AU$93="sníž. přenesená",5,3))))</f>
        <v>1</v>
      </c>
      <c r="CJ93" s="6">
        <f>IF($AT$93="stavební čast",1,IF(8893="investiční čast",2,3))</f>
        <v>1</v>
      </c>
      <c r="CK93" s="6" t="str">
        <f>IF($D$93="Vyplň vlastní","","x")</f>
        <v>x</v>
      </c>
    </row>
    <row r="94" spans="1:89" s="6" customFormat="1" ht="21" customHeight="1" x14ac:dyDescent="0.3">
      <c r="B94" s="22"/>
      <c r="C94" s="23"/>
      <c r="D94" s="84" t="s">
        <v>90</v>
      </c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162">
        <f>ROUNDUP($AG$87*$AS$94,2)</f>
        <v>0</v>
      </c>
      <c r="AH94" s="161"/>
      <c r="AI94" s="161"/>
      <c r="AJ94" s="161"/>
      <c r="AK94" s="161"/>
      <c r="AL94" s="161"/>
      <c r="AM94" s="161"/>
      <c r="AN94" s="163">
        <f>ROUNDUP($AG$94+$AV$94,2)</f>
        <v>0</v>
      </c>
      <c r="AO94" s="161"/>
      <c r="AP94" s="161"/>
      <c r="AQ94" s="24"/>
      <c r="AS94" s="89">
        <v>0</v>
      </c>
      <c r="AT94" s="90" t="s">
        <v>87</v>
      </c>
      <c r="AU94" s="90" t="s">
        <v>37</v>
      </c>
      <c r="AV94" s="91">
        <f>ROUNDUP(IF($AU$94="základní",$AG$94*$L$28,IF($AU$94="snížená",$AG$94*$L$29,0)),2)</f>
        <v>0</v>
      </c>
      <c r="BV94" s="6" t="s">
        <v>88</v>
      </c>
      <c r="BY94" s="88">
        <f>IF($AU$94="základní",$AV$94,0)</f>
        <v>0</v>
      </c>
      <c r="BZ94" s="88">
        <f>IF($AU$94="snížená",$AV$94,0)</f>
        <v>0</v>
      </c>
      <c r="CA94" s="88">
        <v>0</v>
      </c>
      <c r="CB94" s="88">
        <v>0</v>
      </c>
      <c r="CC94" s="88">
        <v>0</v>
      </c>
      <c r="CD94" s="88">
        <f>IF($AU$94="základní",$AG$94,0)</f>
        <v>0</v>
      </c>
      <c r="CE94" s="88">
        <f>IF($AU$94="snížená",$AG$94,0)</f>
        <v>0</v>
      </c>
      <c r="CF94" s="88">
        <f>IF($AU$94="zákl. přenesená",$AG$94,0)</f>
        <v>0</v>
      </c>
      <c r="CG94" s="88">
        <f>IF($AU$94="sníž. přenesená",$AG$94,0)</f>
        <v>0</v>
      </c>
      <c r="CH94" s="88">
        <f>IF($AU$94="nulová",$AG$94,0)</f>
        <v>0</v>
      </c>
      <c r="CI94" s="6">
        <f>IF($AU$94="základní",1,IF($AU$94="snížená",2,IF($AU$94="zákl. přenesená",4,IF($AU$94="sníž. přenesená",5,3))))</f>
        <v>1</v>
      </c>
      <c r="CJ94" s="6">
        <f>IF($AT$94="stavební čast",1,IF(8894="investiční čast",2,3))</f>
        <v>1</v>
      </c>
      <c r="CK94" s="6" t="str">
        <f>IF($D$94="Vyplň vlastní","","x")</f>
        <v>x</v>
      </c>
    </row>
    <row r="95" spans="1:89" s="6" customFormat="1" ht="21" customHeight="1" x14ac:dyDescent="0.3">
      <c r="B95" s="22"/>
      <c r="C95" s="23"/>
      <c r="D95" s="84" t="s">
        <v>91</v>
      </c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162">
        <f>ROUNDUP($AG$87*$AS$95,2)</f>
        <v>0</v>
      </c>
      <c r="AH95" s="161"/>
      <c r="AI95" s="161"/>
      <c r="AJ95" s="161"/>
      <c r="AK95" s="161"/>
      <c r="AL95" s="161"/>
      <c r="AM95" s="161"/>
      <c r="AN95" s="163">
        <f>ROUNDUP($AG$95+$AV$95,2)</f>
        <v>0</v>
      </c>
      <c r="AO95" s="161"/>
      <c r="AP95" s="161"/>
      <c r="AQ95" s="24"/>
      <c r="AS95" s="89">
        <v>0</v>
      </c>
      <c r="AT95" s="90" t="s">
        <v>87</v>
      </c>
      <c r="AU95" s="90" t="s">
        <v>37</v>
      </c>
      <c r="AV95" s="91">
        <f>ROUNDUP(IF($AU$95="základní",$AG$95*$L$28,IF($AU$95="snížená",$AG$95*$L$29,0)),2)</f>
        <v>0</v>
      </c>
      <c r="BV95" s="6" t="s">
        <v>88</v>
      </c>
      <c r="BY95" s="88">
        <f>IF($AU$95="základní",$AV$95,0)</f>
        <v>0</v>
      </c>
      <c r="BZ95" s="88">
        <f>IF($AU$95="snížená",$AV$95,0)</f>
        <v>0</v>
      </c>
      <c r="CA95" s="88">
        <v>0</v>
      </c>
      <c r="CB95" s="88">
        <v>0</v>
      </c>
      <c r="CC95" s="88">
        <v>0</v>
      </c>
      <c r="CD95" s="88">
        <f>IF($AU$95="základní",$AG$95,0)</f>
        <v>0</v>
      </c>
      <c r="CE95" s="88">
        <f>IF($AU$95="snížená",$AG$95,0)</f>
        <v>0</v>
      </c>
      <c r="CF95" s="88">
        <f>IF($AU$95="zákl. přenesená",$AG$95,0)</f>
        <v>0</v>
      </c>
      <c r="CG95" s="88">
        <f>IF($AU$95="sníž. přenesená",$AG$95,0)</f>
        <v>0</v>
      </c>
      <c r="CH95" s="88">
        <f>IF($AU$95="nulová",$AG$95,0)</f>
        <v>0</v>
      </c>
      <c r="CI95" s="6">
        <f>IF($AU$95="základní",1,IF($AU$95="snížená",2,IF($AU$95="zákl. přenesená",4,IF($AU$95="sníž. přenesená",5,3))))</f>
        <v>1</v>
      </c>
      <c r="CJ95" s="6">
        <f>IF($AT$95="stavební čast",1,IF(8895="investiční čast",2,3))</f>
        <v>1</v>
      </c>
      <c r="CK95" s="6" t="str">
        <f>IF($D$95="Vyplň vlastní","","x")</f>
        <v>x</v>
      </c>
    </row>
    <row r="96" spans="1:89" s="6" customFormat="1" ht="21" customHeight="1" x14ac:dyDescent="0.3">
      <c r="B96" s="22"/>
      <c r="C96" s="23"/>
      <c r="D96" s="84" t="s">
        <v>92</v>
      </c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162">
        <f>ROUNDUP($AG$87*$AS$96,2)</f>
        <v>0</v>
      </c>
      <c r="AH96" s="161"/>
      <c r="AI96" s="161"/>
      <c r="AJ96" s="161"/>
      <c r="AK96" s="161"/>
      <c r="AL96" s="161"/>
      <c r="AM96" s="161"/>
      <c r="AN96" s="163">
        <f>ROUNDUP($AG$96+$AV$96,2)</f>
        <v>0</v>
      </c>
      <c r="AO96" s="161"/>
      <c r="AP96" s="161"/>
      <c r="AQ96" s="24"/>
      <c r="AS96" s="89">
        <v>0</v>
      </c>
      <c r="AT96" s="90" t="s">
        <v>87</v>
      </c>
      <c r="AU96" s="90" t="s">
        <v>37</v>
      </c>
      <c r="AV96" s="91">
        <f>ROUNDUP(IF($AU$96="základní",$AG$96*$L$28,IF($AU$96="snížená",$AG$96*$L$29,0)),2)</f>
        <v>0</v>
      </c>
      <c r="BV96" s="6" t="s">
        <v>88</v>
      </c>
      <c r="BY96" s="88">
        <f>IF($AU$96="základní",$AV$96,0)</f>
        <v>0</v>
      </c>
      <c r="BZ96" s="88">
        <f>IF($AU$96="snížená",$AV$96,0)</f>
        <v>0</v>
      </c>
      <c r="CA96" s="88">
        <v>0</v>
      </c>
      <c r="CB96" s="88">
        <v>0</v>
      </c>
      <c r="CC96" s="88">
        <v>0</v>
      </c>
      <c r="CD96" s="88">
        <f>IF($AU$96="základní",$AG$96,0)</f>
        <v>0</v>
      </c>
      <c r="CE96" s="88">
        <f>IF($AU$96="snížená",$AG$96,0)</f>
        <v>0</v>
      </c>
      <c r="CF96" s="88">
        <f>IF($AU$96="zákl. přenesená",$AG$96,0)</f>
        <v>0</v>
      </c>
      <c r="CG96" s="88">
        <f>IF($AU$96="sníž. přenesená",$AG$96,0)</f>
        <v>0</v>
      </c>
      <c r="CH96" s="88">
        <f>IF($AU$96="nulová",$AG$96,0)</f>
        <v>0</v>
      </c>
      <c r="CI96" s="6">
        <f>IF($AU$96="základní",1,IF($AU$96="snížená",2,IF($AU$96="zákl. přenesená",4,IF($AU$96="sníž. přenesená",5,3))))</f>
        <v>1</v>
      </c>
      <c r="CJ96" s="6">
        <f>IF($AT$96="stavební čast",1,IF(8896="investiční čast",2,3))</f>
        <v>1</v>
      </c>
      <c r="CK96" s="6" t="str">
        <f>IF($D$96="Vyplň vlastní","","x")</f>
        <v>x</v>
      </c>
    </row>
    <row r="97" spans="2:89" s="6" customFormat="1" ht="21" customHeight="1" x14ac:dyDescent="0.3">
      <c r="B97" s="22"/>
      <c r="C97" s="23"/>
      <c r="D97" s="84" t="s">
        <v>93</v>
      </c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162">
        <f>ROUNDUP($AG$87*$AS$97,2)</f>
        <v>0</v>
      </c>
      <c r="AH97" s="161"/>
      <c r="AI97" s="161"/>
      <c r="AJ97" s="161"/>
      <c r="AK97" s="161"/>
      <c r="AL97" s="161"/>
      <c r="AM97" s="161"/>
      <c r="AN97" s="163">
        <f>ROUNDUP($AG$97+$AV$97,2)</f>
        <v>0</v>
      </c>
      <c r="AO97" s="161"/>
      <c r="AP97" s="161"/>
      <c r="AQ97" s="24"/>
      <c r="AS97" s="89">
        <v>0</v>
      </c>
      <c r="AT97" s="90" t="s">
        <v>87</v>
      </c>
      <c r="AU97" s="90" t="s">
        <v>37</v>
      </c>
      <c r="AV97" s="91">
        <f>ROUNDUP(IF($AU$97="základní",$AG$97*$L$28,IF($AU$97="snížená",$AG$97*$L$29,0)),2)</f>
        <v>0</v>
      </c>
      <c r="BV97" s="6" t="s">
        <v>88</v>
      </c>
      <c r="BY97" s="88">
        <f>IF($AU$97="základní",$AV$97,0)</f>
        <v>0</v>
      </c>
      <c r="BZ97" s="88">
        <f>IF($AU$97="snížená",$AV$97,0)</f>
        <v>0</v>
      </c>
      <c r="CA97" s="88">
        <v>0</v>
      </c>
      <c r="CB97" s="88">
        <v>0</v>
      </c>
      <c r="CC97" s="88">
        <v>0</v>
      </c>
      <c r="CD97" s="88">
        <f>IF($AU$97="základní",$AG$97,0)</f>
        <v>0</v>
      </c>
      <c r="CE97" s="88">
        <f>IF($AU$97="snížená",$AG$97,0)</f>
        <v>0</v>
      </c>
      <c r="CF97" s="88">
        <f>IF($AU$97="zákl. přenesená",$AG$97,0)</f>
        <v>0</v>
      </c>
      <c r="CG97" s="88">
        <f>IF($AU$97="sníž. přenesená",$AG$97,0)</f>
        <v>0</v>
      </c>
      <c r="CH97" s="88">
        <f>IF($AU$97="nulová",$AG$97,0)</f>
        <v>0</v>
      </c>
      <c r="CI97" s="6">
        <f>IF($AU$97="základní",1,IF($AU$97="snížená",2,IF($AU$97="zákl. přenesená",4,IF($AU$97="sníž. přenesená",5,3))))</f>
        <v>1</v>
      </c>
      <c r="CJ97" s="6">
        <f>IF($AT$97="stavební čast",1,IF(8897="investiční čast",2,3))</f>
        <v>1</v>
      </c>
      <c r="CK97" s="6" t="str">
        <f>IF($D$97="Vyplň vlastní","","x")</f>
        <v>x</v>
      </c>
    </row>
    <row r="98" spans="2:89" s="6" customFormat="1" ht="21" customHeight="1" x14ac:dyDescent="0.3">
      <c r="B98" s="22"/>
      <c r="C98" s="23"/>
      <c r="D98" s="84" t="s">
        <v>94</v>
      </c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162">
        <f>ROUNDUP($AG$87*$AS$98,2)</f>
        <v>0</v>
      </c>
      <c r="AH98" s="161"/>
      <c r="AI98" s="161"/>
      <c r="AJ98" s="161"/>
      <c r="AK98" s="161"/>
      <c r="AL98" s="161"/>
      <c r="AM98" s="161"/>
      <c r="AN98" s="163">
        <f>ROUNDUP($AG$98+$AV$98,2)</f>
        <v>0</v>
      </c>
      <c r="AO98" s="161"/>
      <c r="AP98" s="161"/>
      <c r="AQ98" s="24"/>
      <c r="AS98" s="89">
        <v>0</v>
      </c>
      <c r="AT98" s="90" t="s">
        <v>87</v>
      </c>
      <c r="AU98" s="90" t="s">
        <v>37</v>
      </c>
      <c r="AV98" s="91">
        <f>ROUNDUP(IF($AU$98="základní",$AG$98*$L$28,IF($AU$98="snížená",$AG$98*$L$29,0)),2)</f>
        <v>0</v>
      </c>
      <c r="BV98" s="6" t="s">
        <v>88</v>
      </c>
      <c r="BY98" s="88">
        <f>IF($AU$98="základní",$AV$98,0)</f>
        <v>0</v>
      </c>
      <c r="BZ98" s="88">
        <f>IF($AU$98="snížená",$AV$98,0)</f>
        <v>0</v>
      </c>
      <c r="CA98" s="88">
        <v>0</v>
      </c>
      <c r="CB98" s="88">
        <v>0</v>
      </c>
      <c r="CC98" s="88">
        <v>0</v>
      </c>
      <c r="CD98" s="88">
        <f>IF($AU$98="základní",$AG$98,0)</f>
        <v>0</v>
      </c>
      <c r="CE98" s="88">
        <f>IF($AU$98="snížená",$AG$98,0)</f>
        <v>0</v>
      </c>
      <c r="CF98" s="88">
        <f>IF($AU$98="zákl. přenesená",$AG$98,0)</f>
        <v>0</v>
      </c>
      <c r="CG98" s="88">
        <f>IF($AU$98="sníž. přenesená",$AG$98,0)</f>
        <v>0</v>
      </c>
      <c r="CH98" s="88">
        <f>IF($AU$98="nulová",$AG$98,0)</f>
        <v>0</v>
      </c>
      <c r="CI98" s="6">
        <f>IF($AU$98="základní",1,IF($AU$98="snížená",2,IF($AU$98="zákl. přenesená",4,IF($AU$98="sníž. přenesená",5,3))))</f>
        <v>1</v>
      </c>
      <c r="CJ98" s="6">
        <f>IF($AT$98="stavební čast",1,IF(8898="investiční čast",2,3))</f>
        <v>1</v>
      </c>
      <c r="CK98" s="6" t="str">
        <f>IF($D$98="Vyplň vlastní","","x")</f>
        <v>x</v>
      </c>
    </row>
    <row r="99" spans="2:89" s="6" customFormat="1" ht="21" customHeight="1" x14ac:dyDescent="0.3">
      <c r="B99" s="22"/>
      <c r="C99" s="23"/>
      <c r="D99" s="84" t="s">
        <v>95</v>
      </c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162">
        <f>ROUNDUP($AG$87*$AS$99,2)</f>
        <v>0</v>
      </c>
      <c r="AH99" s="161"/>
      <c r="AI99" s="161"/>
      <c r="AJ99" s="161"/>
      <c r="AK99" s="161"/>
      <c r="AL99" s="161"/>
      <c r="AM99" s="161"/>
      <c r="AN99" s="163">
        <f>ROUNDUP($AG$99+$AV$99,2)</f>
        <v>0</v>
      </c>
      <c r="AO99" s="161"/>
      <c r="AP99" s="161"/>
      <c r="AQ99" s="24"/>
      <c r="AS99" s="89">
        <v>0</v>
      </c>
      <c r="AT99" s="90" t="s">
        <v>87</v>
      </c>
      <c r="AU99" s="90" t="s">
        <v>37</v>
      </c>
      <c r="AV99" s="91">
        <f>ROUNDUP(IF($AU$99="základní",$AG$99*$L$28,IF($AU$99="snížená",$AG$99*$L$29,0)),2)</f>
        <v>0</v>
      </c>
      <c r="BV99" s="6" t="s">
        <v>88</v>
      </c>
      <c r="BY99" s="88">
        <f>IF($AU$99="základní",$AV$99,0)</f>
        <v>0</v>
      </c>
      <c r="BZ99" s="88">
        <f>IF($AU$99="snížená",$AV$99,0)</f>
        <v>0</v>
      </c>
      <c r="CA99" s="88">
        <v>0</v>
      </c>
      <c r="CB99" s="88">
        <v>0</v>
      </c>
      <c r="CC99" s="88">
        <v>0</v>
      </c>
      <c r="CD99" s="88">
        <f>IF($AU$99="základní",$AG$99,0)</f>
        <v>0</v>
      </c>
      <c r="CE99" s="88">
        <f>IF($AU$99="snížená",$AG$99,0)</f>
        <v>0</v>
      </c>
      <c r="CF99" s="88">
        <f>IF($AU$99="zákl. přenesená",$AG$99,0)</f>
        <v>0</v>
      </c>
      <c r="CG99" s="88">
        <f>IF($AU$99="sníž. přenesená",$AG$99,0)</f>
        <v>0</v>
      </c>
      <c r="CH99" s="88">
        <f>IF($AU$99="nulová",$AG$99,0)</f>
        <v>0</v>
      </c>
      <c r="CI99" s="6">
        <f>IF($AU$99="základní",1,IF($AU$99="snížená",2,IF($AU$99="zákl. přenesená",4,IF($AU$99="sníž. přenesená",5,3))))</f>
        <v>1</v>
      </c>
      <c r="CJ99" s="6">
        <f>IF($AT$99="stavební čast",1,IF(8899="investiční čast",2,3))</f>
        <v>1</v>
      </c>
      <c r="CK99" s="6" t="str">
        <f>IF($D$99="Vyplň vlastní","","x")</f>
        <v>x</v>
      </c>
    </row>
    <row r="100" spans="2:89" s="6" customFormat="1" ht="21" customHeight="1" x14ac:dyDescent="0.3">
      <c r="B100" s="22"/>
      <c r="C100" s="23"/>
      <c r="D100" s="84" t="s">
        <v>96</v>
      </c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162">
        <f>ROUNDUP($AG$87*$AS$100,2)</f>
        <v>0</v>
      </c>
      <c r="AH100" s="161"/>
      <c r="AI100" s="161"/>
      <c r="AJ100" s="161"/>
      <c r="AK100" s="161"/>
      <c r="AL100" s="161"/>
      <c r="AM100" s="161"/>
      <c r="AN100" s="163">
        <f>ROUNDUP($AG$100+$AV$100,2)</f>
        <v>0</v>
      </c>
      <c r="AO100" s="161"/>
      <c r="AP100" s="161"/>
      <c r="AQ100" s="24"/>
      <c r="AS100" s="89">
        <v>0</v>
      </c>
      <c r="AT100" s="90" t="s">
        <v>87</v>
      </c>
      <c r="AU100" s="90" t="s">
        <v>37</v>
      </c>
      <c r="AV100" s="91">
        <f>ROUNDUP(IF($AU$100="základní",$AG$100*$L$28,IF($AU$100="snížená",$AG$100*$L$29,0)),2)</f>
        <v>0</v>
      </c>
      <c r="BV100" s="6" t="s">
        <v>88</v>
      </c>
      <c r="BY100" s="88">
        <f>IF($AU$100="základní",$AV$100,0)</f>
        <v>0</v>
      </c>
      <c r="BZ100" s="88">
        <f>IF($AU$100="snížená",$AV$100,0)</f>
        <v>0</v>
      </c>
      <c r="CA100" s="88">
        <v>0</v>
      </c>
      <c r="CB100" s="88">
        <v>0</v>
      </c>
      <c r="CC100" s="88">
        <v>0</v>
      </c>
      <c r="CD100" s="88">
        <f>IF($AU$100="základní",$AG$100,0)</f>
        <v>0</v>
      </c>
      <c r="CE100" s="88">
        <f>IF($AU$100="snížená",$AG$100,0)</f>
        <v>0</v>
      </c>
      <c r="CF100" s="88">
        <f>IF($AU$100="zákl. přenesená",$AG$100,0)</f>
        <v>0</v>
      </c>
      <c r="CG100" s="88">
        <f>IF($AU$100="sníž. přenesená",$AG$100,0)</f>
        <v>0</v>
      </c>
      <c r="CH100" s="88">
        <f>IF($AU$100="nulová",$AG$100,0)</f>
        <v>0</v>
      </c>
      <c r="CI100" s="6">
        <f>IF($AU$100="základní",1,IF($AU$100="snížená",2,IF($AU$100="zákl. přenesená",4,IF($AU$100="sníž. přenesená",5,3))))</f>
        <v>1</v>
      </c>
      <c r="CJ100" s="6">
        <f>IF($AT$100="stavební čast",1,IF(88100="investiční čast",2,3))</f>
        <v>1</v>
      </c>
      <c r="CK100" s="6" t="str">
        <f>IF($D$100="Vyplň vlastní","","x")</f>
        <v>x</v>
      </c>
    </row>
    <row r="101" spans="2:89" s="6" customFormat="1" ht="21" customHeight="1" x14ac:dyDescent="0.3">
      <c r="B101" s="22"/>
      <c r="C101" s="23"/>
      <c r="D101" s="84" t="s">
        <v>97</v>
      </c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162">
        <f>ROUNDUP($AG$87*$AS$101,2)</f>
        <v>0</v>
      </c>
      <c r="AH101" s="161"/>
      <c r="AI101" s="161"/>
      <c r="AJ101" s="161"/>
      <c r="AK101" s="161"/>
      <c r="AL101" s="161"/>
      <c r="AM101" s="161"/>
      <c r="AN101" s="163">
        <f>ROUNDUP($AG$101+$AV$101,2)</f>
        <v>0</v>
      </c>
      <c r="AO101" s="161"/>
      <c r="AP101" s="161"/>
      <c r="AQ101" s="24"/>
      <c r="AS101" s="89">
        <v>0</v>
      </c>
      <c r="AT101" s="90" t="s">
        <v>87</v>
      </c>
      <c r="AU101" s="90" t="s">
        <v>37</v>
      </c>
      <c r="AV101" s="91">
        <f>ROUNDUP(IF($AU$101="základní",$AG$101*$L$28,IF($AU$101="snížená",$AG$101*$L$29,0)),2)</f>
        <v>0</v>
      </c>
      <c r="BV101" s="6" t="s">
        <v>88</v>
      </c>
      <c r="BY101" s="88">
        <f>IF($AU$101="základní",$AV$101,0)</f>
        <v>0</v>
      </c>
      <c r="BZ101" s="88">
        <f>IF($AU$101="snížená",$AV$101,0)</f>
        <v>0</v>
      </c>
      <c r="CA101" s="88">
        <v>0</v>
      </c>
      <c r="CB101" s="88">
        <v>0</v>
      </c>
      <c r="CC101" s="88">
        <v>0</v>
      </c>
      <c r="CD101" s="88">
        <f>IF($AU$101="základní",$AG$101,0)</f>
        <v>0</v>
      </c>
      <c r="CE101" s="88">
        <f>IF($AU$101="snížená",$AG$101,0)</f>
        <v>0</v>
      </c>
      <c r="CF101" s="88">
        <f>IF($AU$101="zákl. přenesená",$AG$101,0)</f>
        <v>0</v>
      </c>
      <c r="CG101" s="88">
        <f>IF($AU$101="sníž. přenesená",$AG$101,0)</f>
        <v>0</v>
      </c>
      <c r="CH101" s="88">
        <f>IF($AU$101="nulová",$AG$101,0)</f>
        <v>0</v>
      </c>
      <c r="CI101" s="6">
        <f>IF($AU$101="základní",1,IF($AU$101="snížená",2,IF($AU$101="zákl. přenesená",4,IF($AU$101="sníž. přenesená",5,3))))</f>
        <v>1</v>
      </c>
      <c r="CJ101" s="6">
        <f>IF($AT$101="stavební čast",1,IF(88101="investiční čast",2,3))</f>
        <v>1</v>
      </c>
      <c r="CK101" s="6" t="str">
        <f>IF($D$101="Vyplň vlastní","","x")</f>
        <v>x</v>
      </c>
    </row>
    <row r="102" spans="2:89" s="6" customFormat="1" ht="21" customHeight="1" x14ac:dyDescent="0.3">
      <c r="B102" s="22"/>
      <c r="C102" s="23"/>
      <c r="D102" s="160" t="s">
        <v>98</v>
      </c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23"/>
      <c r="AD102" s="23"/>
      <c r="AE102" s="23"/>
      <c r="AF102" s="23"/>
      <c r="AG102" s="162">
        <f>$AG$87*$AS$102</f>
        <v>0</v>
      </c>
      <c r="AH102" s="161"/>
      <c r="AI102" s="161"/>
      <c r="AJ102" s="161"/>
      <c r="AK102" s="161"/>
      <c r="AL102" s="161"/>
      <c r="AM102" s="161"/>
      <c r="AN102" s="163">
        <f>$AG$102+$AV$102</f>
        <v>0</v>
      </c>
      <c r="AO102" s="161"/>
      <c r="AP102" s="161"/>
      <c r="AQ102" s="24"/>
      <c r="AS102" s="89">
        <v>0</v>
      </c>
      <c r="AT102" s="90" t="s">
        <v>87</v>
      </c>
      <c r="AU102" s="90" t="s">
        <v>37</v>
      </c>
      <c r="AV102" s="91">
        <f>ROUNDUP(IF($AU$102="nulová",0,IF(OR($AU$102="základní",$AU$102="zákl. přenesená"),$AG$102*$L$28,$AG$102*$L$29)),1)</f>
        <v>0</v>
      </c>
      <c r="BV102" s="6" t="s">
        <v>99</v>
      </c>
      <c r="BY102" s="88">
        <f>IF($AU$102="základní",$AV$102,0)</f>
        <v>0</v>
      </c>
      <c r="BZ102" s="88">
        <f>IF($AU$102="snížená",$AV$102,0)</f>
        <v>0</v>
      </c>
      <c r="CA102" s="88">
        <f>IF($AU$102="zákl. přenesená",$AV$102,0)</f>
        <v>0</v>
      </c>
      <c r="CB102" s="88">
        <f>IF($AU$102="sníž. přenesená",$AV$102,0)</f>
        <v>0</v>
      </c>
      <c r="CC102" s="88">
        <f>IF($AU$102="nulová",$AV$102,0)</f>
        <v>0</v>
      </c>
      <c r="CD102" s="88">
        <f>IF($AU$102="základní",$AG$102,0)</f>
        <v>0</v>
      </c>
      <c r="CE102" s="88">
        <f>IF($AU$102="snížená",$AG$102,0)</f>
        <v>0</v>
      </c>
      <c r="CF102" s="88">
        <f>IF($AU$102="zákl. přenesená",$AG$102,0)</f>
        <v>0</v>
      </c>
      <c r="CG102" s="88">
        <f>IF($AU$102="sníž. přenesená",$AG$102,0)</f>
        <v>0</v>
      </c>
      <c r="CH102" s="88">
        <f>IF($AU$102="nulová",$AG$102,0)</f>
        <v>0</v>
      </c>
      <c r="CI102" s="6">
        <f>IF($AU$102="základní",1,IF($AU$102="snížená",2,IF($AU$102="zákl. přenesená",4,IF($AU$102="sníž. přenesená",5,3))))</f>
        <v>1</v>
      </c>
      <c r="CJ102" s="6">
        <f>IF($AT$102="stavební čast",1,IF(88102="investiční čast",2,3))</f>
        <v>1</v>
      </c>
      <c r="CK102" s="6" t="str">
        <f>IF($D$102="Vyplň vlastní","","x")</f>
        <v/>
      </c>
    </row>
    <row r="103" spans="2:89" s="6" customFormat="1" ht="21" customHeight="1" x14ac:dyDescent="0.3">
      <c r="B103" s="22"/>
      <c r="C103" s="23"/>
      <c r="D103" s="160" t="s">
        <v>98</v>
      </c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23"/>
      <c r="AD103" s="23"/>
      <c r="AE103" s="23"/>
      <c r="AF103" s="23"/>
      <c r="AG103" s="162">
        <f>$AG$87*$AS$103</f>
        <v>0</v>
      </c>
      <c r="AH103" s="161"/>
      <c r="AI103" s="161"/>
      <c r="AJ103" s="161"/>
      <c r="AK103" s="161"/>
      <c r="AL103" s="161"/>
      <c r="AM103" s="161"/>
      <c r="AN103" s="163">
        <f>$AG$103+$AV$103</f>
        <v>0</v>
      </c>
      <c r="AO103" s="161"/>
      <c r="AP103" s="161"/>
      <c r="AQ103" s="24"/>
      <c r="AS103" s="89">
        <v>0</v>
      </c>
      <c r="AT103" s="90" t="s">
        <v>87</v>
      </c>
      <c r="AU103" s="90" t="s">
        <v>37</v>
      </c>
      <c r="AV103" s="91">
        <f>ROUNDUP(IF($AU$103="nulová",0,IF(OR($AU$103="základní",$AU$103="zákl. přenesená"),$AG$103*$L$28,$AG$103*$L$29)),1)</f>
        <v>0</v>
      </c>
      <c r="BV103" s="6" t="s">
        <v>99</v>
      </c>
      <c r="BY103" s="88">
        <f>IF($AU$103="základní",$AV$103,0)</f>
        <v>0</v>
      </c>
      <c r="BZ103" s="88">
        <f>IF($AU$103="snížená",$AV$103,0)</f>
        <v>0</v>
      </c>
      <c r="CA103" s="88">
        <f>IF($AU$103="zákl. přenesená",$AV$103,0)</f>
        <v>0</v>
      </c>
      <c r="CB103" s="88">
        <f>IF($AU$103="sníž. přenesená",$AV$103,0)</f>
        <v>0</v>
      </c>
      <c r="CC103" s="88">
        <f>IF($AU$103="nulová",$AV$103,0)</f>
        <v>0</v>
      </c>
      <c r="CD103" s="88">
        <f>IF($AU$103="základní",$AG$103,0)</f>
        <v>0</v>
      </c>
      <c r="CE103" s="88">
        <f>IF($AU$103="snížená",$AG$103,0)</f>
        <v>0</v>
      </c>
      <c r="CF103" s="88">
        <f>IF($AU$103="zákl. přenesená",$AG$103,0)</f>
        <v>0</v>
      </c>
      <c r="CG103" s="88">
        <f>IF($AU$103="sníž. přenesená",$AG$103,0)</f>
        <v>0</v>
      </c>
      <c r="CH103" s="88">
        <f>IF($AU$103="nulová",$AG$103,0)</f>
        <v>0</v>
      </c>
      <c r="CI103" s="6">
        <f>IF($AU$103="základní",1,IF($AU$103="snížená",2,IF($AU$103="zákl. přenesená",4,IF($AU$103="sníž. přenesená",5,3))))</f>
        <v>1</v>
      </c>
      <c r="CJ103" s="6">
        <f>IF($AT$103="stavební čast",1,IF(88103="investiční čast",2,3))</f>
        <v>1</v>
      </c>
      <c r="CK103" s="6" t="str">
        <f>IF($D$103="Vyplň vlastní","","x")</f>
        <v/>
      </c>
    </row>
    <row r="104" spans="2:89" s="6" customFormat="1" ht="21" customHeight="1" x14ac:dyDescent="0.3">
      <c r="B104" s="22"/>
      <c r="C104" s="23"/>
      <c r="D104" s="160" t="s">
        <v>98</v>
      </c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23"/>
      <c r="AD104" s="23"/>
      <c r="AE104" s="23"/>
      <c r="AF104" s="23"/>
      <c r="AG104" s="162">
        <f>$AG$87*$AS$104</f>
        <v>0</v>
      </c>
      <c r="AH104" s="161"/>
      <c r="AI104" s="161"/>
      <c r="AJ104" s="161"/>
      <c r="AK104" s="161"/>
      <c r="AL104" s="161"/>
      <c r="AM104" s="161"/>
      <c r="AN104" s="163">
        <f>$AG$104+$AV$104</f>
        <v>0</v>
      </c>
      <c r="AO104" s="161"/>
      <c r="AP104" s="161"/>
      <c r="AQ104" s="24"/>
      <c r="AS104" s="92">
        <v>0</v>
      </c>
      <c r="AT104" s="93" t="s">
        <v>87</v>
      </c>
      <c r="AU104" s="93" t="s">
        <v>37</v>
      </c>
      <c r="AV104" s="94">
        <f>ROUNDUP(IF($AU$104="nulová",0,IF(OR($AU$104="základní",$AU$104="zákl. přenesená"),$AG$104*$L$28,$AG$104*$L$29)),1)</f>
        <v>0</v>
      </c>
      <c r="BV104" s="6" t="s">
        <v>99</v>
      </c>
      <c r="BY104" s="88">
        <f>IF($AU$104="základní",$AV$104,0)</f>
        <v>0</v>
      </c>
      <c r="BZ104" s="88">
        <f>IF($AU$104="snížená",$AV$104,0)</f>
        <v>0</v>
      </c>
      <c r="CA104" s="88">
        <f>IF($AU$104="zákl. přenesená",$AV$104,0)</f>
        <v>0</v>
      </c>
      <c r="CB104" s="88">
        <f>IF($AU$104="sníž. přenesená",$AV$104,0)</f>
        <v>0</v>
      </c>
      <c r="CC104" s="88">
        <f>IF($AU$104="nulová",$AV$104,0)</f>
        <v>0</v>
      </c>
      <c r="CD104" s="88">
        <f>IF($AU$104="základní",$AG$104,0)</f>
        <v>0</v>
      </c>
      <c r="CE104" s="88">
        <f>IF($AU$104="snížená",$AG$104,0)</f>
        <v>0</v>
      </c>
      <c r="CF104" s="88">
        <f>IF($AU$104="zákl. přenesená",$AG$104,0)</f>
        <v>0</v>
      </c>
      <c r="CG104" s="88">
        <f>IF($AU$104="sníž. přenesená",$AG$104,0)</f>
        <v>0</v>
      </c>
      <c r="CH104" s="88">
        <f>IF($AU$104="nulová",$AG$104,0)</f>
        <v>0</v>
      </c>
      <c r="CI104" s="6">
        <f>IF($AU$104="základní",1,IF($AU$104="snížená",2,IF($AU$104="zákl. přenesená",4,IF($AU$104="sníž. přenesená",5,3))))</f>
        <v>1</v>
      </c>
      <c r="CJ104" s="6">
        <f>IF($AT$104="stavební čast",1,IF(88104="investiční čast",2,3))</f>
        <v>1</v>
      </c>
      <c r="CK104" s="6" t="str">
        <f>IF($D$104="Vyplň vlastní","","x")</f>
        <v/>
      </c>
    </row>
    <row r="105" spans="2:89" s="6" customFormat="1" ht="12" customHeight="1" x14ac:dyDescent="0.3">
      <c r="B105" s="2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4"/>
    </row>
    <row r="106" spans="2:89" s="6" customFormat="1" ht="30.75" customHeight="1" x14ac:dyDescent="0.3">
      <c r="B106" s="22"/>
      <c r="C106" s="95" t="s">
        <v>100</v>
      </c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156">
        <f>ROUNDUP($AG$87+$AG$91,2)</f>
        <v>0</v>
      </c>
      <c r="AH106" s="157"/>
      <c r="AI106" s="157"/>
      <c r="AJ106" s="157"/>
      <c r="AK106" s="157"/>
      <c r="AL106" s="157"/>
      <c r="AM106" s="157"/>
      <c r="AN106" s="156">
        <f>ROUNDUP($AN$87+$AN$91,2)</f>
        <v>0</v>
      </c>
      <c r="AO106" s="157"/>
      <c r="AP106" s="157"/>
      <c r="AQ106" s="24"/>
    </row>
    <row r="107" spans="2:89" s="6" customFormat="1" ht="7.5" customHeight="1" x14ac:dyDescent="0.3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7"/>
    </row>
  </sheetData>
  <sheetProtection password="CC35" sheet="1" objects="1" scenarios="1" formatColumns="0" formatRows="0" sort="0" autoFilter="0"/>
  <mergeCells count="78">
    <mergeCell ref="C2:AP2"/>
    <mergeCell ref="C4:AP4"/>
    <mergeCell ref="BE5:BE34"/>
    <mergeCell ref="K6:AO6"/>
    <mergeCell ref="E14:AJ14"/>
    <mergeCell ref="AK23:AO23"/>
    <mergeCell ref="AK24:AO24"/>
    <mergeCell ref="AK26:AO26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L31:O31"/>
    <mergeCell ref="W31:AE31"/>
    <mergeCell ref="AK31:AO31"/>
    <mergeCell ref="L32:O32"/>
    <mergeCell ref="W32:AE32"/>
    <mergeCell ref="AK32:AO32"/>
    <mergeCell ref="X34:AB34"/>
    <mergeCell ref="AK34:AO34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G92:AM92"/>
    <mergeCell ref="AN92:AP92"/>
    <mergeCell ref="AG93:AM93"/>
    <mergeCell ref="AN93:AP93"/>
    <mergeCell ref="AG94:AM94"/>
    <mergeCell ref="AN94:AP94"/>
    <mergeCell ref="AG95:AM95"/>
    <mergeCell ref="AN95:AP95"/>
    <mergeCell ref="AG96:AM96"/>
    <mergeCell ref="AN96:AP96"/>
    <mergeCell ref="AG97:AM97"/>
    <mergeCell ref="AN97:AP97"/>
    <mergeCell ref="AG98:AM98"/>
    <mergeCell ref="AN98:AP98"/>
    <mergeCell ref="AG99:AM99"/>
    <mergeCell ref="AN99:AP99"/>
    <mergeCell ref="AG100:AM100"/>
    <mergeCell ref="AN100:AP100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AG106:AM106"/>
    <mergeCell ref="AN106:AP106"/>
    <mergeCell ref="AR2:BE2"/>
    <mergeCell ref="D104:AB104"/>
    <mergeCell ref="AG104:AM104"/>
    <mergeCell ref="AN104:AP104"/>
    <mergeCell ref="AG87:AM87"/>
    <mergeCell ref="AN87:AP87"/>
    <mergeCell ref="AG91:AM91"/>
    <mergeCell ref="AN91:AP91"/>
  </mergeCells>
  <dataValidations count="2">
    <dataValidation type="list" allowBlank="1" showInputMessage="1" showErrorMessage="1" error="Povoleny jsou hodnoty základní, snížená, zákl. přenesená, sníž. přenesená, nulová." sqref="AU92:AU105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92:AT105">
      <formula1>"stavební čast,technologická čast,investiční čast"</formula1>
    </dataValidation>
  </dataValidations>
  <hyperlinks>
    <hyperlink ref="K1:S1" location="C2" tooltip="Souhrnný list stavby" display="1) Souhrnný list stavby"/>
    <hyperlink ref="W1:AF1" location="C87" tooltip="Rekapitulace objektů" display="2) Rekapitulace objektů"/>
    <hyperlink ref="A88" location="'SO01 - WC dívky a chlapci'!C2" tooltip="SO01 - WC dívky a chlapci" display="/"/>
    <hyperlink ref="A89" location="'SO02 - WC imobilní'!C2" tooltip="SO02 - WC imobilní" display="/"/>
  </hyperlink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3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55"/>
      <c r="B1" s="152"/>
      <c r="C1" s="152"/>
      <c r="D1" s="153" t="s">
        <v>1</v>
      </c>
      <c r="E1" s="152"/>
      <c r="F1" s="154" t="s">
        <v>403</v>
      </c>
      <c r="G1" s="154"/>
      <c r="H1" s="198" t="s">
        <v>404</v>
      </c>
      <c r="I1" s="198"/>
      <c r="J1" s="198"/>
      <c r="K1" s="198"/>
      <c r="L1" s="154" t="s">
        <v>405</v>
      </c>
      <c r="M1" s="152"/>
      <c r="N1" s="152"/>
      <c r="O1" s="153" t="s">
        <v>101</v>
      </c>
      <c r="P1" s="152"/>
      <c r="Q1" s="152"/>
      <c r="R1" s="152"/>
      <c r="S1" s="154" t="s">
        <v>406</v>
      </c>
      <c r="T1" s="154"/>
      <c r="U1" s="155"/>
      <c r="V1" s="15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87" t="s">
        <v>4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S2" s="158" t="s">
        <v>5</v>
      </c>
      <c r="T2" s="159"/>
      <c r="U2" s="159"/>
      <c r="V2" s="159"/>
      <c r="W2" s="159"/>
      <c r="X2" s="159"/>
      <c r="Y2" s="159"/>
      <c r="Z2" s="159"/>
      <c r="AA2" s="159"/>
      <c r="AB2" s="159"/>
      <c r="AC2" s="159"/>
      <c r="AT2" s="2" t="s">
        <v>79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102</v>
      </c>
    </row>
    <row r="4" spans="1:256" s="2" customFormat="1" ht="37.5" customHeight="1" x14ac:dyDescent="0.3">
      <c r="B4" s="10"/>
      <c r="C4" s="176" t="s">
        <v>103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2"/>
      <c r="T4" s="13" t="s">
        <v>10</v>
      </c>
      <c r="AT4" s="2" t="s">
        <v>3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</row>
    <row r="6" spans="1:256" s="2" customFormat="1" ht="15.75" customHeight="1" x14ac:dyDescent="0.3">
      <c r="B6" s="10"/>
      <c r="C6" s="11"/>
      <c r="D6" s="16" t="s">
        <v>14</v>
      </c>
      <c r="E6" s="11"/>
      <c r="F6" s="213" t="str">
        <f>'Rekapitulace stavby'!$K$6</f>
        <v>Gymnazium_Chodovicka - rekonstrukce toalet a invalidní WC</v>
      </c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1"/>
      <c r="R6" s="12"/>
    </row>
    <row r="7" spans="1:256" s="6" customFormat="1" ht="18.75" customHeight="1" x14ac:dyDescent="0.3">
      <c r="B7" s="22"/>
      <c r="C7" s="23"/>
      <c r="D7" s="15" t="s">
        <v>104</v>
      </c>
      <c r="E7" s="23"/>
      <c r="F7" s="177" t="s">
        <v>105</v>
      </c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23"/>
      <c r="R7" s="24"/>
    </row>
    <row r="8" spans="1:256" s="6" customFormat="1" ht="7.5" customHeight="1" x14ac:dyDescent="0.3"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</row>
    <row r="9" spans="1:256" s="6" customFormat="1" ht="15" customHeight="1" x14ac:dyDescent="0.3">
      <c r="B9" s="22"/>
      <c r="C9" s="23"/>
      <c r="D9" s="16" t="s">
        <v>18</v>
      </c>
      <c r="E9" s="23"/>
      <c r="F9" s="17" t="s">
        <v>19</v>
      </c>
      <c r="G9" s="23"/>
      <c r="H9" s="23"/>
      <c r="I9" s="23"/>
      <c r="J9" s="23"/>
      <c r="K9" s="23"/>
      <c r="L9" s="23"/>
      <c r="M9" s="16" t="s">
        <v>20</v>
      </c>
      <c r="N9" s="23"/>
      <c r="O9" s="222" t="str">
        <f>'Rekapitulace stavby'!$AN$8</f>
        <v>17.05.2018</v>
      </c>
      <c r="P9" s="161"/>
      <c r="Q9" s="23"/>
      <c r="R9" s="24"/>
    </row>
    <row r="10" spans="1:256" s="6" customFormat="1" ht="7.5" customHeight="1" x14ac:dyDescent="0.3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</row>
    <row r="11" spans="1:256" s="6" customFormat="1" ht="15" customHeight="1" x14ac:dyDescent="0.3">
      <c r="B11" s="22"/>
      <c r="C11" s="23"/>
      <c r="D11" s="16" t="s">
        <v>24</v>
      </c>
      <c r="E11" s="23"/>
      <c r="F11" s="23"/>
      <c r="G11" s="23"/>
      <c r="H11" s="23"/>
      <c r="I11" s="23"/>
      <c r="J11" s="23"/>
      <c r="K11" s="23"/>
      <c r="L11" s="23"/>
      <c r="M11" s="16" t="s">
        <v>25</v>
      </c>
      <c r="N11" s="23"/>
      <c r="O11" s="178" t="str">
        <f>IF('Rekapitulace stavby'!$AN$10="","",'Rekapitulace stavby'!$AN$10)</f>
        <v/>
      </c>
      <c r="P11" s="161"/>
      <c r="Q11" s="23"/>
      <c r="R11" s="24"/>
    </row>
    <row r="12" spans="1:256" s="6" customFormat="1" ht="18.75" customHeight="1" x14ac:dyDescent="0.3">
      <c r="B12" s="22"/>
      <c r="C12" s="23"/>
      <c r="D12" s="23"/>
      <c r="E12" s="17" t="str">
        <f>IF('Rekapitulace stavby'!$E$11="","",'Rekapitulace stavby'!$E$11)</f>
        <v xml:space="preserve"> </v>
      </c>
      <c r="F12" s="23"/>
      <c r="G12" s="23"/>
      <c r="H12" s="23"/>
      <c r="I12" s="23"/>
      <c r="J12" s="23"/>
      <c r="K12" s="23"/>
      <c r="L12" s="23"/>
      <c r="M12" s="16" t="s">
        <v>27</v>
      </c>
      <c r="N12" s="23"/>
      <c r="O12" s="178" t="str">
        <f>IF('Rekapitulace stavby'!$AN$11="","",'Rekapitulace stavby'!$AN$11)</f>
        <v/>
      </c>
      <c r="P12" s="161"/>
      <c r="Q12" s="23"/>
      <c r="R12" s="24"/>
    </row>
    <row r="13" spans="1:256" s="6" customFormat="1" ht="7.5" customHeight="1" x14ac:dyDescent="0.3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</row>
    <row r="14" spans="1:256" s="6" customFormat="1" ht="15" customHeight="1" x14ac:dyDescent="0.3">
      <c r="B14" s="22"/>
      <c r="C14" s="23"/>
      <c r="D14" s="16" t="s">
        <v>28</v>
      </c>
      <c r="E14" s="23"/>
      <c r="F14" s="23"/>
      <c r="G14" s="23"/>
      <c r="H14" s="23"/>
      <c r="I14" s="23"/>
      <c r="J14" s="23"/>
      <c r="K14" s="23"/>
      <c r="L14" s="23"/>
      <c r="M14" s="16" t="s">
        <v>25</v>
      </c>
      <c r="N14" s="23"/>
      <c r="O14" s="221" t="str">
        <f>IF('Rekapitulace stavby'!$AN$13="","",'Rekapitulace stavby'!$AN$13)</f>
        <v>Vyplň údaj</v>
      </c>
      <c r="P14" s="161"/>
      <c r="Q14" s="23"/>
      <c r="R14" s="24"/>
    </row>
    <row r="15" spans="1:256" s="6" customFormat="1" ht="18.75" customHeight="1" x14ac:dyDescent="0.3">
      <c r="B15" s="22"/>
      <c r="C15" s="23"/>
      <c r="D15" s="23"/>
      <c r="E15" s="221" t="str">
        <f>IF('Rekapitulace stavby'!$E$14="","",'Rekapitulace stavby'!$E$14)</f>
        <v>Vyplň údaj</v>
      </c>
      <c r="F15" s="161"/>
      <c r="G15" s="161"/>
      <c r="H15" s="161"/>
      <c r="I15" s="161"/>
      <c r="J15" s="161"/>
      <c r="K15" s="161"/>
      <c r="L15" s="161"/>
      <c r="M15" s="16" t="s">
        <v>27</v>
      </c>
      <c r="N15" s="23"/>
      <c r="O15" s="221" t="str">
        <f>IF('Rekapitulace stavby'!$AN$14="","",'Rekapitulace stavby'!$AN$14)</f>
        <v>Vyplň údaj</v>
      </c>
      <c r="P15" s="161"/>
      <c r="Q15" s="23"/>
      <c r="R15" s="24"/>
    </row>
    <row r="16" spans="1:256" s="6" customFormat="1" ht="7.5" customHeight="1" x14ac:dyDescent="0.3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2:18" s="6" customFormat="1" ht="15" customHeight="1" x14ac:dyDescent="0.3">
      <c r="B17" s="22"/>
      <c r="C17" s="23"/>
      <c r="D17" s="16" t="s">
        <v>30</v>
      </c>
      <c r="E17" s="23"/>
      <c r="F17" s="23"/>
      <c r="G17" s="23"/>
      <c r="H17" s="23"/>
      <c r="I17" s="23"/>
      <c r="J17" s="23"/>
      <c r="K17" s="23"/>
      <c r="L17" s="23"/>
      <c r="M17" s="16" t="s">
        <v>25</v>
      </c>
      <c r="N17" s="23"/>
      <c r="O17" s="178" t="str">
        <f>IF('Rekapitulace stavby'!$AN$16="","",'Rekapitulace stavby'!$AN$16)</f>
        <v/>
      </c>
      <c r="P17" s="161"/>
      <c r="Q17" s="23"/>
      <c r="R17" s="24"/>
    </row>
    <row r="18" spans="2:18" s="6" customFormat="1" ht="18.75" customHeight="1" x14ac:dyDescent="0.3">
      <c r="B18" s="22"/>
      <c r="C18" s="23"/>
      <c r="D18" s="23"/>
      <c r="E18" s="17" t="str">
        <f>IF('Rekapitulace stavby'!$E$17="","",'Rekapitulace stavby'!$E$17)</f>
        <v xml:space="preserve"> </v>
      </c>
      <c r="F18" s="23"/>
      <c r="G18" s="23"/>
      <c r="H18" s="23"/>
      <c r="I18" s="23"/>
      <c r="J18" s="23"/>
      <c r="K18" s="23"/>
      <c r="L18" s="23"/>
      <c r="M18" s="16" t="s">
        <v>27</v>
      </c>
      <c r="N18" s="23"/>
      <c r="O18" s="178" t="str">
        <f>IF('Rekapitulace stavby'!$AN$17="","",'Rekapitulace stavby'!$AN$17)</f>
        <v/>
      </c>
      <c r="P18" s="161"/>
      <c r="Q18" s="23"/>
      <c r="R18" s="24"/>
    </row>
    <row r="19" spans="2:18" s="6" customFormat="1" ht="7.5" customHeight="1" x14ac:dyDescent="0.3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</row>
    <row r="20" spans="2:18" s="6" customFormat="1" ht="15" customHeight="1" x14ac:dyDescent="0.3">
      <c r="B20" s="22"/>
      <c r="C20" s="23"/>
      <c r="D20" s="16" t="s">
        <v>32</v>
      </c>
      <c r="E20" s="23"/>
      <c r="F20" s="23"/>
      <c r="G20" s="23"/>
      <c r="H20" s="23"/>
      <c r="I20" s="23"/>
      <c r="J20" s="23"/>
      <c r="K20" s="23"/>
      <c r="L20" s="23"/>
      <c r="M20" s="16" t="s">
        <v>25</v>
      </c>
      <c r="N20" s="23"/>
      <c r="O20" s="178" t="str">
        <f>IF('Rekapitulace stavby'!$AN$19="","",'Rekapitulace stavby'!$AN$19)</f>
        <v/>
      </c>
      <c r="P20" s="161"/>
      <c r="Q20" s="23"/>
      <c r="R20" s="24"/>
    </row>
    <row r="21" spans="2:18" s="6" customFormat="1" ht="18.75" customHeight="1" x14ac:dyDescent="0.3">
      <c r="B21" s="22"/>
      <c r="C21" s="23"/>
      <c r="D21" s="23"/>
      <c r="E21" s="17" t="str">
        <f>IF('Rekapitulace stavby'!$E$20="","",'Rekapitulace stavby'!$E$20)</f>
        <v xml:space="preserve"> </v>
      </c>
      <c r="F21" s="23"/>
      <c r="G21" s="23"/>
      <c r="H21" s="23"/>
      <c r="I21" s="23"/>
      <c r="J21" s="23"/>
      <c r="K21" s="23"/>
      <c r="L21" s="23"/>
      <c r="M21" s="16" t="s">
        <v>27</v>
      </c>
      <c r="N21" s="23"/>
      <c r="O21" s="178" t="str">
        <f>IF('Rekapitulace stavby'!$AN$20="","",'Rekapitulace stavby'!$AN$20)</f>
        <v/>
      </c>
      <c r="P21" s="161"/>
      <c r="Q21" s="23"/>
      <c r="R21" s="24"/>
    </row>
    <row r="22" spans="2:18" s="6" customFormat="1" ht="7.5" customHeight="1" x14ac:dyDescent="0.3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</row>
    <row r="23" spans="2:18" s="6" customFormat="1" ht="7.5" customHeight="1" x14ac:dyDescent="0.3">
      <c r="B23" s="22"/>
      <c r="C23" s="23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23"/>
      <c r="R23" s="24"/>
    </row>
    <row r="24" spans="2:18" s="6" customFormat="1" ht="15" customHeight="1" x14ac:dyDescent="0.3">
      <c r="B24" s="22"/>
      <c r="C24" s="23"/>
      <c r="D24" s="96" t="s">
        <v>106</v>
      </c>
      <c r="E24" s="23"/>
      <c r="F24" s="23"/>
      <c r="G24" s="23"/>
      <c r="H24" s="23"/>
      <c r="I24" s="23"/>
      <c r="J24" s="23"/>
      <c r="K24" s="23"/>
      <c r="L24" s="23"/>
      <c r="M24" s="192">
        <f>$N$88</f>
        <v>0</v>
      </c>
      <c r="N24" s="161"/>
      <c r="O24" s="161"/>
      <c r="P24" s="161"/>
      <c r="Q24" s="23"/>
      <c r="R24" s="24"/>
    </row>
    <row r="25" spans="2:18" s="6" customFormat="1" ht="15" customHeight="1" x14ac:dyDescent="0.3">
      <c r="B25" s="22"/>
      <c r="C25" s="23"/>
      <c r="D25" s="21" t="s">
        <v>93</v>
      </c>
      <c r="E25" s="23"/>
      <c r="F25" s="23"/>
      <c r="G25" s="23"/>
      <c r="H25" s="23"/>
      <c r="I25" s="23"/>
      <c r="J25" s="23"/>
      <c r="K25" s="23"/>
      <c r="L25" s="23"/>
      <c r="M25" s="192">
        <f>$N$110</f>
        <v>0</v>
      </c>
      <c r="N25" s="161"/>
      <c r="O25" s="161"/>
      <c r="P25" s="161"/>
      <c r="Q25" s="23"/>
      <c r="R25" s="24"/>
    </row>
    <row r="26" spans="2:18" s="6" customFormat="1" ht="7.5" customHeight="1" x14ac:dyDescent="0.3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/>
    </row>
    <row r="27" spans="2:18" s="6" customFormat="1" ht="26.25" customHeight="1" x14ac:dyDescent="0.3">
      <c r="B27" s="22"/>
      <c r="C27" s="23"/>
      <c r="D27" s="97" t="s">
        <v>35</v>
      </c>
      <c r="E27" s="23"/>
      <c r="F27" s="23"/>
      <c r="G27" s="23"/>
      <c r="H27" s="23"/>
      <c r="I27" s="23"/>
      <c r="J27" s="23"/>
      <c r="K27" s="23"/>
      <c r="L27" s="23"/>
      <c r="M27" s="220">
        <f>ROUNDUP($M$24+$M$25,2)</f>
        <v>0</v>
      </c>
      <c r="N27" s="161"/>
      <c r="O27" s="161"/>
      <c r="P27" s="161"/>
      <c r="Q27" s="23"/>
      <c r="R27" s="24"/>
    </row>
    <row r="28" spans="2:18" s="6" customFormat="1" ht="7.5" customHeight="1" x14ac:dyDescent="0.3">
      <c r="B28" s="22"/>
      <c r="C28" s="23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23"/>
      <c r="R28" s="24"/>
    </row>
    <row r="29" spans="2:18" s="6" customFormat="1" ht="15" customHeight="1" x14ac:dyDescent="0.3">
      <c r="B29" s="22"/>
      <c r="C29" s="23"/>
      <c r="D29" s="28" t="s">
        <v>36</v>
      </c>
      <c r="E29" s="28" t="s">
        <v>37</v>
      </c>
      <c r="F29" s="29">
        <v>0.21</v>
      </c>
      <c r="G29" s="98" t="s">
        <v>38</v>
      </c>
      <c r="H29" s="219">
        <f>ROUNDUP((((SUM($BE$110:$BE$117)+SUM($BE$135:$BE$229))+SUM($BE$231:$BE$231))),2)</f>
        <v>0</v>
      </c>
      <c r="I29" s="161"/>
      <c r="J29" s="161"/>
      <c r="K29" s="23"/>
      <c r="L29" s="23"/>
      <c r="M29" s="219">
        <f>ROUNDUP((((SUM($BE$110:$BE$117)+SUM($BE$135:$BE$229))*$F$29)+SUM($BE$231:$BE$231)*$F$29),1)</f>
        <v>0</v>
      </c>
      <c r="N29" s="161"/>
      <c r="O29" s="161"/>
      <c r="P29" s="161"/>
      <c r="Q29" s="23"/>
      <c r="R29" s="24"/>
    </row>
    <row r="30" spans="2:18" s="6" customFormat="1" ht="15" customHeight="1" x14ac:dyDescent="0.3">
      <c r="B30" s="22"/>
      <c r="C30" s="23"/>
      <c r="D30" s="23"/>
      <c r="E30" s="28" t="s">
        <v>39</v>
      </c>
      <c r="F30" s="29">
        <v>0.15</v>
      </c>
      <c r="G30" s="98" t="s">
        <v>38</v>
      </c>
      <c r="H30" s="219">
        <f>ROUNDUP((((SUM($BF$110:$BF$117)+SUM($BF$135:$BF$229))+SUM($BF$231:$BF$231))),2)</f>
        <v>0</v>
      </c>
      <c r="I30" s="161"/>
      <c r="J30" s="161"/>
      <c r="K30" s="23"/>
      <c r="L30" s="23"/>
      <c r="M30" s="219">
        <f>ROUNDUP((((SUM($BF$110:$BF$117)+SUM($BF$135:$BF$229))*$F$30)+SUM($BF$231:$BF$231)*$F$30),1)</f>
        <v>0</v>
      </c>
      <c r="N30" s="161"/>
      <c r="O30" s="161"/>
      <c r="P30" s="161"/>
      <c r="Q30" s="23"/>
      <c r="R30" s="24"/>
    </row>
    <row r="31" spans="2:18" s="6" customFormat="1" ht="15" hidden="1" customHeight="1" x14ac:dyDescent="0.3">
      <c r="B31" s="22"/>
      <c r="C31" s="23"/>
      <c r="D31" s="23"/>
      <c r="E31" s="28" t="s">
        <v>40</v>
      </c>
      <c r="F31" s="29">
        <v>0.21</v>
      </c>
      <c r="G31" s="98" t="s">
        <v>38</v>
      </c>
      <c r="H31" s="219">
        <f>ROUNDUP((((SUM($BG$110:$BG$117)+SUM($BG$135:$BG$229))+SUM($BG$231:$BG$231))),2)</f>
        <v>0</v>
      </c>
      <c r="I31" s="161"/>
      <c r="J31" s="161"/>
      <c r="K31" s="23"/>
      <c r="L31" s="23"/>
      <c r="M31" s="219">
        <v>0</v>
      </c>
      <c r="N31" s="161"/>
      <c r="O31" s="161"/>
      <c r="P31" s="161"/>
      <c r="Q31" s="23"/>
      <c r="R31" s="24"/>
    </row>
    <row r="32" spans="2:18" s="6" customFormat="1" ht="15" hidden="1" customHeight="1" x14ac:dyDescent="0.3">
      <c r="B32" s="22"/>
      <c r="C32" s="23"/>
      <c r="D32" s="23"/>
      <c r="E32" s="28" t="s">
        <v>41</v>
      </c>
      <c r="F32" s="29">
        <v>0.15</v>
      </c>
      <c r="G32" s="98" t="s">
        <v>38</v>
      </c>
      <c r="H32" s="219">
        <f>ROUNDUP((((SUM($BH$110:$BH$117)+SUM($BH$135:$BH$229))+SUM($BH$231:$BH$231))),2)</f>
        <v>0</v>
      </c>
      <c r="I32" s="161"/>
      <c r="J32" s="161"/>
      <c r="K32" s="23"/>
      <c r="L32" s="23"/>
      <c r="M32" s="219">
        <v>0</v>
      </c>
      <c r="N32" s="161"/>
      <c r="O32" s="161"/>
      <c r="P32" s="161"/>
      <c r="Q32" s="23"/>
      <c r="R32" s="24"/>
    </row>
    <row r="33" spans="2:18" s="6" customFormat="1" ht="15" hidden="1" customHeight="1" x14ac:dyDescent="0.3">
      <c r="B33" s="22"/>
      <c r="C33" s="23"/>
      <c r="D33" s="23"/>
      <c r="E33" s="28" t="s">
        <v>42</v>
      </c>
      <c r="F33" s="29">
        <v>0</v>
      </c>
      <c r="G33" s="98" t="s">
        <v>38</v>
      </c>
      <c r="H33" s="219">
        <f>ROUNDUP((((SUM($BI$110:$BI$117)+SUM($BI$135:$BI$229))+SUM($BI$231:$BI$231))),2)</f>
        <v>0</v>
      </c>
      <c r="I33" s="161"/>
      <c r="J33" s="161"/>
      <c r="K33" s="23"/>
      <c r="L33" s="23"/>
      <c r="M33" s="219">
        <v>0</v>
      </c>
      <c r="N33" s="161"/>
      <c r="O33" s="161"/>
      <c r="P33" s="161"/>
      <c r="Q33" s="23"/>
      <c r="R33" s="24"/>
    </row>
    <row r="34" spans="2:18" s="6" customFormat="1" ht="7.5" customHeight="1" x14ac:dyDescent="0.3"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/>
    </row>
    <row r="35" spans="2:18" s="6" customFormat="1" ht="26.25" customHeight="1" x14ac:dyDescent="0.3">
      <c r="B35" s="22"/>
      <c r="C35" s="32"/>
      <c r="D35" s="33" t="s">
        <v>43</v>
      </c>
      <c r="E35" s="34"/>
      <c r="F35" s="34"/>
      <c r="G35" s="99" t="s">
        <v>44</v>
      </c>
      <c r="H35" s="35" t="s">
        <v>45</v>
      </c>
      <c r="I35" s="34"/>
      <c r="J35" s="34"/>
      <c r="K35" s="34"/>
      <c r="L35" s="175">
        <f>ROUNDUP(SUM($M$27:$M$33),2)</f>
        <v>0</v>
      </c>
      <c r="M35" s="171"/>
      <c r="N35" s="171"/>
      <c r="O35" s="171"/>
      <c r="P35" s="173"/>
      <c r="Q35" s="32"/>
      <c r="R35" s="24"/>
    </row>
    <row r="36" spans="2:18" s="6" customFormat="1" ht="15" customHeight="1" x14ac:dyDescent="0.3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/>
    </row>
    <row r="37" spans="2:18" s="6" customFormat="1" ht="15" customHeight="1" x14ac:dyDescent="0.3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</row>
    <row r="38" spans="2:18" s="2" customFormat="1" ht="14.25" customHeight="1" x14ac:dyDescent="0.3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s="2" customFormat="1" ht="14.25" customHeight="1" x14ac:dyDescent="0.3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</row>
    <row r="40" spans="2:18" s="2" customFormat="1" ht="14.25" customHeight="1" x14ac:dyDescent="0.3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2"/>
    </row>
    <row r="41" spans="2:18" s="2" customFormat="1" ht="14.25" customHeight="1" x14ac:dyDescent="0.3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2"/>
    </row>
    <row r="42" spans="2:18" s="2" customFormat="1" ht="14.25" customHeight="1" x14ac:dyDescent="0.3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s="2" customFormat="1" ht="14.25" customHeight="1" x14ac:dyDescent="0.3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2"/>
    </row>
    <row r="44" spans="2:18" s="2" customFormat="1" ht="14.25" customHeight="1" x14ac:dyDescent="0.3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2"/>
    </row>
    <row r="45" spans="2:18" s="2" customFormat="1" ht="14.25" customHeight="1" x14ac:dyDescent="0.3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2"/>
    </row>
    <row r="46" spans="2:18" s="2" customFormat="1" ht="14.25" customHeight="1" x14ac:dyDescent="0.3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2"/>
    </row>
    <row r="47" spans="2:18" s="2" customFormat="1" ht="14.25" customHeight="1" x14ac:dyDescent="0.3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2"/>
    </row>
    <row r="48" spans="2:18" s="2" customFormat="1" ht="14.25" customHeight="1" x14ac:dyDescent="0.3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2"/>
    </row>
    <row r="49" spans="2:18" s="2" customFormat="1" ht="14.25" customHeight="1" x14ac:dyDescent="0.3"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2"/>
    </row>
    <row r="50" spans="2:18" s="6" customFormat="1" ht="15.75" customHeight="1" x14ac:dyDescent="0.3">
      <c r="B50" s="22"/>
      <c r="C50" s="23"/>
      <c r="D50" s="36" t="s">
        <v>46</v>
      </c>
      <c r="E50" s="37"/>
      <c r="F50" s="37"/>
      <c r="G50" s="37"/>
      <c r="H50" s="38"/>
      <c r="I50" s="23"/>
      <c r="J50" s="36" t="s">
        <v>47</v>
      </c>
      <c r="K50" s="37"/>
      <c r="L50" s="37"/>
      <c r="M50" s="37"/>
      <c r="N50" s="37"/>
      <c r="O50" s="37"/>
      <c r="P50" s="38"/>
      <c r="Q50" s="23"/>
      <c r="R50" s="24"/>
    </row>
    <row r="51" spans="2:18" s="2" customFormat="1" ht="14.25" customHeight="1" x14ac:dyDescent="0.3">
      <c r="B51" s="10"/>
      <c r="C51" s="11"/>
      <c r="D51" s="39"/>
      <c r="E51" s="11"/>
      <c r="F51" s="11"/>
      <c r="G51" s="11"/>
      <c r="H51" s="40"/>
      <c r="I51" s="11"/>
      <c r="J51" s="39"/>
      <c r="K51" s="11"/>
      <c r="L51" s="11"/>
      <c r="M51" s="11"/>
      <c r="N51" s="11"/>
      <c r="O51" s="11"/>
      <c r="P51" s="40"/>
      <c r="Q51" s="11"/>
      <c r="R51" s="12"/>
    </row>
    <row r="52" spans="2:18" s="2" customFormat="1" ht="14.25" customHeight="1" x14ac:dyDescent="0.3">
      <c r="B52" s="10"/>
      <c r="C52" s="11"/>
      <c r="D52" s="39"/>
      <c r="E52" s="11"/>
      <c r="F52" s="11"/>
      <c r="G52" s="11"/>
      <c r="H52" s="40"/>
      <c r="I52" s="11"/>
      <c r="J52" s="39"/>
      <c r="K52" s="11"/>
      <c r="L52" s="11"/>
      <c r="M52" s="11"/>
      <c r="N52" s="11"/>
      <c r="O52" s="11"/>
      <c r="P52" s="40"/>
      <c r="Q52" s="11"/>
      <c r="R52" s="12"/>
    </row>
    <row r="53" spans="2:18" s="2" customFormat="1" ht="14.25" customHeight="1" x14ac:dyDescent="0.3">
      <c r="B53" s="10"/>
      <c r="C53" s="11"/>
      <c r="D53" s="39"/>
      <c r="E53" s="11"/>
      <c r="F53" s="11"/>
      <c r="G53" s="11"/>
      <c r="H53" s="40"/>
      <c r="I53" s="11"/>
      <c r="J53" s="39"/>
      <c r="K53" s="11"/>
      <c r="L53" s="11"/>
      <c r="M53" s="11"/>
      <c r="N53" s="11"/>
      <c r="O53" s="11"/>
      <c r="P53" s="40"/>
      <c r="Q53" s="11"/>
      <c r="R53" s="12"/>
    </row>
    <row r="54" spans="2:18" s="2" customFormat="1" ht="14.25" customHeight="1" x14ac:dyDescent="0.3">
      <c r="B54" s="10"/>
      <c r="C54" s="11"/>
      <c r="D54" s="39"/>
      <c r="E54" s="11"/>
      <c r="F54" s="11"/>
      <c r="G54" s="11"/>
      <c r="H54" s="40"/>
      <c r="I54" s="11"/>
      <c r="J54" s="39"/>
      <c r="K54" s="11"/>
      <c r="L54" s="11"/>
      <c r="M54" s="11"/>
      <c r="N54" s="11"/>
      <c r="O54" s="11"/>
      <c r="P54" s="40"/>
      <c r="Q54" s="11"/>
      <c r="R54" s="12"/>
    </row>
    <row r="55" spans="2:18" s="2" customFormat="1" ht="14.25" customHeight="1" x14ac:dyDescent="0.3">
      <c r="B55" s="10"/>
      <c r="C55" s="11"/>
      <c r="D55" s="39"/>
      <c r="E55" s="11"/>
      <c r="F55" s="11"/>
      <c r="G55" s="11"/>
      <c r="H55" s="40"/>
      <c r="I55" s="11"/>
      <c r="J55" s="39"/>
      <c r="K55" s="11"/>
      <c r="L55" s="11"/>
      <c r="M55" s="11"/>
      <c r="N55" s="11"/>
      <c r="O55" s="11"/>
      <c r="P55" s="40"/>
      <c r="Q55" s="11"/>
      <c r="R55" s="12"/>
    </row>
    <row r="56" spans="2:18" s="2" customFormat="1" ht="14.25" customHeight="1" x14ac:dyDescent="0.3">
      <c r="B56" s="10"/>
      <c r="C56" s="11"/>
      <c r="D56" s="39"/>
      <c r="E56" s="11"/>
      <c r="F56" s="11"/>
      <c r="G56" s="11"/>
      <c r="H56" s="40"/>
      <c r="I56" s="11"/>
      <c r="J56" s="39"/>
      <c r="K56" s="11"/>
      <c r="L56" s="11"/>
      <c r="M56" s="11"/>
      <c r="N56" s="11"/>
      <c r="O56" s="11"/>
      <c r="P56" s="40"/>
      <c r="Q56" s="11"/>
      <c r="R56" s="12"/>
    </row>
    <row r="57" spans="2:18" s="2" customFormat="1" ht="14.25" customHeight="1" x14ac:dyDescent="0.3">
      <c r="B57" s="10"/>
      <c r="C57" s="11"/>
      <c r="D57" s="39"/>
      <c r="E57" s="11"/>
      <c r="F57" s="11"/>
      <c r="G57" s="11"/>
      <c r="H57" s="40"/>
      <c r="I57" s="11"/>
      <c r="J57" s="39"/>
      <c r="K57" s="11"/>
      <c r="L57" s="11"/>
      <c r="M57" s="11"/>
      <c r="N57" s="11"/>
      <c r="O57" s="11"/>
      <c r="P57" s="40"/>
      <c r="Q57" s="11"/>
      <c r="R57" s="12"/>
    </row>
    <row r="58" spans="2:18" s="2" customFormat="1" ht="14.25" customHeight="1" x14ac:dyDescent="0.3">
      <c r="B58" s="10"/>
      <c r="C58" s="11"/>
      <c r="D58" s="39"/>
      <c r="E58" s="11"/>
      <c r="F58" s="11"/>
      <c r="G58" s="11"/>
      <c r="H58" s="40"/>
      <c r="I58" s="11"/>
      <c r="J58" s="39"/>
      <c r="K58" s="11"/>
      <c r="L58" s="11"/>
      <c r="M58" s="11"/>
      <c r="N58" s="11"/>
      <c r="O58" s="11"/>
      <c r="P58" s="40"/>
      <c r="Q58" s="11"/>
      <c r="R58" s="12"/>
    </row>
    <row r="59" spans="2:18" s="6" customFormat="1" ht="15.75" customHeight="1" x14ac:dyDescent="0.3">
      <c r="B59" s="22"/>
      <c r="C59" s="23"/>
      <c r="D59" s="41" t="s">
        <v>48</v>
      </c>
      <c r="E59" s="42"/>
      <c r="F59" s="42"/>
      <c r="G59" s="43" t="s">
        <v>49</v>
      </c>
      <c r="H59" s="44"/>
      <c r="I59" s="23"/>
      <c r="J59" s="41" t="s">
        <v>48</v>
      </c>
      <c r="K59" s="42"/>
      <c r="L59" s="42"/>
      <c r="M59" s="42"/>
      <c r="N59" s="43" t="s">
        <v>49</v>
      </c>
      <c r="O59" s="42"/>
      <c r="P59" s="44"/>
      <c r="Q59" s="23"/>
      <c r="R59" s="24"/>
    </row>
    <row r="60" spans="2:18" s="2" customFormat="1" ht="14.25" customHeight="1" x14ac:dyDescent="0.3"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2"/>
    </row>
    <row r="61" spans="2:18" s="6" customFormat="1" ht="15.75" customHeight="1" x14ac:dyDescent="0.3">
      <c r="B61" s="22"/>
      <c r="C61" s="23"/>
      <c r="D61" s="36" t="s">
        <v>50</v>
      </c>
      <c r="E61" s="37"/>
      <c r="F61" s="37"/>
      <c r="G61" s="37"/>
      <c r="H61" s="38"/>
      <c r="I61" s="23"/>
      <c r="J61" s="36" t="s">
        <v>51</v>
      </c>
      <c r="K61" s="37"/>
      <c r="L61" s="37"/>
      <c r="M61" s="37"/>
      <c r="N61" s="37"/>
      <c r="O61" s="37"/>
      <c r="P61" s="38"/>
      <c r="Q61" s="23"/>
      <c r="R61" s="24"/>
    </row>
    <row r="62" spans="2:18" s="2" customFormat="1" ht="14.25" customHeight="1" x14ac:dyDescent="0.3">
      <c r="B62" s="10"/>
      <c r="C62" s="11"/>
      <c r="D62" s="39"/>
      <c r="E62" s="11"/>
      <c r="F62" s="11"/>
      <c r="G62" s="11"/>
      <c r="H62" s="40"/>
      <c r="I62" s="11"/>
      <c r="J62" s="39"/>
      <c r="K62" s="11"/>
      <c r="L62" s="11"/>
      <c r="M62" s="11"/>
      <c r="N62" s="11"/>
      <c r="O62" s="11"/>
      <c r="P62" s="40"/>
      <c r="Q62" s="11"/>
      <c r="R62" s="12"/>
    </row>
    <row r="63" spans="2:18" s="2" customFormat="1" ht="14.25" customHeight="1" x14ac:dyDescent="0.3">
      <c r="B63" s="10"/>
      <c r="C63" s="11"/>
      <c r="D63" s="39"/>
      <c r="E63" s="11"/>
      <c r="F63" s="11"/>
      <c r="G63" s="11"/>
      <c r="H63" s="40"/>
      <c r="I63" s="11"/>
      <c r="J63" s="39"/>
      <c r="K63" s="11"/>
      <c r="L63" s="11"/>
      <c r="M63" s="11"/>
      <c r="N63" s="11"/>
      <c r="O63" s="11"/>
      <c r="P63" s="40"/>
      <c r="Q63" s="11"/>
      <c r="R63" s="12"/>
    </row>
    <row r="64" spans="2:18" s="2" customFormat="1" ht="14.25" customHeight="1" x14ac:dyDescent="0.3">
      <c r="B64" s="10"/>
      <c r="C64" s="11"/>
      <c r="D64" s="39"/>
      <c r="E64" s="11"/>
      <c r="F64" s="11"/>
      <c r="G64" s="11"/>
      <c r="H64" s="40"/>
      <c r="I64" s="11"/>
      <c r="J64" s="39"/>
      <c r="K64" s="11"/>
      <c r="L64" s="11"/>
      <c r="M64" s="11"/>
      <c r="N64" s="11"/>
      <c r="O64" s="11"/>
      <c r="P64" s="40"/>
      <c r="Q64" s="11"/>
      <c r="R64" s="12"/>
    </row>
    <row r="65" spans="2:21" s="2" customFormat="1" ht="14.25" customHeight="1" x14ac:dyDescent="0.3">
      <c r="B65" s="10"/>
      <c r="C65" s="11"/>
      <c r="D65" s="39"/>
      <c r="E65" s="11"/>
      <c r="F65" s="11"/>
      <c r="G65" s="11"/>
      <c r="H65" s="40"/>
      <c r="I65" s="11"/>
      <c r="J65" s="39"/>
      <c r="K65" s="11"/>
      <c r="L65" s="11"/>
      <c r="M65" s="11"/>
      <c r="N65" s="11"/>
      <c r="O65" s="11"/>
      <c r="P65" s="40"/>
      <c r="Q65" s="11"/>
      <c r="R65" s="12"/>
    </row>
    <row r="66" spans="2:21" s="2" customFormat="1" ht="14.25" customHeight="1" x14ac:dyDescent="0.3">
      <c r="B66" s="10"/>
      <c r="C66" s="11"/>
      <c r="D66" s="39"/>
      <c r="E66" s="11"/>
      <c r="F66" s="11"/>
      <c r="G66" s="11"/>
      <c r="H66" s="40"/>
      <c r="I66" s="11"/>
      <c r="J66" s="39"/>
      <c r="K66" s="11"/>
      <c r="L66" s="11"/>
      <c r="M66" s="11"/>
      <c r="N66" s="11"/>
      <c r="O66" s="11"/>
      <c r="P66" s="40"/>
      <c r="Q66" s="11"/>
      <c r="R66" s="12"/>
    </row>
    <row r="67" spans="2:21" s="2" customFormat="1" ht="14.25" customHeight="1" x14ac:dyDescent="0.3">
      <c r="B67" s="10"/>
      <c r="C67" s="11"/>
      <c r="D67" s="39"/>
      <c r="E67" s="11"/>
      <c r="F67" s="11"/>
      <c r="G67" s="11"/>
      <c r="H67" s="40"/>
      <c r="I67" s="11"/>
      <c r="J67" s="39"/>
      <c r="K67" s="11"/>
      <c r="L67" s="11"/>
      <c r="M67" s="11"/>
      <c r="N67" s="11"/>
      <c r="O67" s="11"/>
      <c r="P67" s="40"/>
      <c r="Q67" s="11"/>
      <c r="R67" s="12"/>
    </row>
    <row r="68" spans="2:21" s="2" customFormat="1" ht="14.25" customHeight="1" x14ac:dyDescent="0.3">
      <c r="B68" s="10"/>
      <c r="C68" s="11"/>
      <c r="D68" s="39"/>
      <c r="E68" s="11"/>
      <c r="F68" s="11"/>
      <c r="G68" s="11"/>
      <c r="H68" s="40"/>
      <c r="I68" s="11"/>
      <c r="J68" s="39"/>
      <c r="K68" s="11"/>
      <c r="L68" s="11"/>
      <c r="M68" s="11"/>
      <c r="N68" s="11"/>
      <c r="O68" s="11"/>
      <c r="P68" s="40"/>
      <c r="Q68" s="11"/>
      <c r="R68" s="12"/>
    </row>
    <row r="69" spans="2:21" s="2" customFormat="1" ht="14.25" customHeight="1" x14ac:dyDescent="0.3">
      <c r="B69" s="10"/>
      <c r="C69" s="11"/>
      <c r="D69" s="39"/>
      <c r="E69" s="11"/>
      <c r="F69" s="11"/>
      <c r="G69" s="11"/>
      <c r="H69" s="40"/>
      <c r="I69" s="11"/>
      <c r="J69" s="39"/>
      <c r="K69" s="11"/>
      <c r="L69" s="11"/>
      <c r="M69" s="11"/>
      <c r="N69" s="11"/>
      <c r="O69" s="11"/>
      <c r="P69" s="40"/>
      <c r="Q69" s="11"/>
      <c r="R69" s="12"/>
    </row>
    <row r="70" spans="2:21" s="6" customFormat="1" ht="15.75" customHeight="1" x14ac:dyDescent="0.3">
      <c r="B70" s="22"/>
      <c r="C70" s="23"/>
      <c r="D70" s="41" t="s">
        <v>48</v>
      </c>
      <c r="E70" s="42"/>
      <c r="F70" s="42"/>
      <c r="G70" s="43" t="s">
        <v>49</v>
      </c>
      <c r="H70" s="44"/>
      <c r="I70" s="23"/>
      <c r="J70" s="41" t="s">
        <v>48</v>
      </c>
      <c r="K70" s="42"/>
      <c r="L70" s="42"/>
      <c r="M70" s="42"/>
      <c r="N70" s="43" t="s">
        <v>49</v>
      </c>
      <c r="O70" s="42"/>
      <c r="P70" s="44"/>
      <c r="Q70" s="23"/>
      <c r="R70" s="24"/>
    </row>
    <row r="71" spans="2:21" s="6" customFormat="1" ht="15" customHeight="1" x14ac:dyDescent="0.3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7"/>
    </row>
    <row r="75" spans="2:21" s="6" customFormat="1" ht="7.5" customHeight="1" x14ac:dyDescent="0.3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</row>
    <row r="76" spans="2:21" s="6" customFormat="1" ht="37.5" customHeight="1" x14ac:dyDescent="0.3">
      <c r="B76" s="22"/>
      <c r="C76" s="176" t="s">
        <v>107</v>
      </c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24"/>
      <c r="T76" s="23"/>
      <c r="U76" s="23"/>
    </row>
    <row r="77" spans="2:21" s="6" customFormat="1" ht="7.5" customHeight="1" x14ac:dyDescent="0.3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  <c r="T77" s="23"/>
      <c r="U77" s="23"/>
    </row>
    <row r="78" spans="2:21" s="6" customFormat="1" ht="15" customHeight="1" x14ac:dyDescent="0.3">
      <c r="B78" s="22"/>
      <c r="C78" s="16" t="s">
        <v>14</v>
      </c>
      <c r="D78" s="23"/>
      <c r="E78" s="23"/>
      <c r="F78" s="213" t="str">
        <f>$F$6</f>
        <v>Gymnazium_Chodovicka - rekonstrukce toalet a invalidní WC</v>
      </c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23"/>
      <c r="R78" s="24"/>
      <c r="T78" s="23"/>
      <c r="U78" s="23"/>
    </row>
    <row r="79" spans="2:21" s="6" customFormat="1" ht="15" customHeight="1" x14ac:dyDescent="0.3">
      <c r="B79" s="22"/>
      <c r="C79" s="15" t="s">
        <v>104</v>
      </c>
      <c r="D79" s="23"/>
      <c r="E79" s="23"/>
      <c r="F79" s="177" t="str">
        <f>$F$7</f>
        <v>SO01 - WC dívky a chlapci</v>
      </c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23"/>
      <c r="R79" s="24"/>
      <c r="T79" s="23"/>
      <c r="U79" s="23"/>
    </row>
    <row r="80" spans="2:21" s="6" customFormat="1" ht="7.5" customHeight="1" x14ac:dyDescent="0.3">
      <c r="B80" s="2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4"/>
      <c r="T80" s="23"/>
      <c r="U80" s="23"/>
    </row>
    <row r="81" spans="2:47" s="6" customFormat="1" ht="18.75" customHeight="1" x14ac:dyDescent="0.3">
      <c r="B81" s="22"/>
      <c r="C81" s="16" t="s">
        <v>18</v>
      </c>
      <c r="D81" s="23"/>
      <c r="E81" s="23"/>
      <c r="F81" s="17" t="str">
        <f>$F$9</f>
        <v>Chodovická 2250</v>
      </c>
      <c r="G81" s="23"/>
      <c r="H81" s="23"/>
      <c r="I81" s="23"/>
      <c r="J81" s="23"/>
      <c r="K81" s="16" t="s">
        <v>20</v>
      </c>
      <c r="L81" s="23"/>
      <c r="M81" s="214" t="str">
        <f>IF($O$9="","",$O$9)</f>
        <v>17.05.2018</v>
      </c>
      <c r="N81" s="161"/>
      <c r="O81" s="161"/>
      <c r="P81" s="161"/>
      <c r="Q81" s="23"/>
      <c r="R81" s="24"/>
      <c r="T81" s="23"/>
      <c r="U81" s="23"/>
    </row>
    <row r="82" spans="2:47" s="6" customFormat="1" ht="7.5" customHeight="1" x14ac:dyDescent="0.3"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4"/>
      <c r="T82" s="23"/>
      <c r="U82" s="23"/>
    </row>
    <row r="83" spans="2:47" s="6" customFormat="1" ht="15.75" customHeight="1" x14ac:dyDescent="0.3">
      <c r="B83" s="22"/>
      <c r="C83" s="16" t="s">
        <v>24</v>
      </c>
      <c r="D83" s="23"/>
      <c r="E83" s="23"/>
      <c r="F83" s="17" t="str">
        <f>$E$12</f>
        <v xml:space="preserve"> </v>
      </c>
      <c r="G83" s="23"/>
      <c r="H83" s="23"/>
      <c r="I83" s="23"/>
      <c r="J83" s="23"/>
      <c r="K83" s="16" t="s">
        <v>30</v>
      </c>
      <c r="L83" s="23"/>
      <c r="M83" s="178" t="str">
        <f>$E$18</f>
        <v xml:space="preserve"> </v>
      </c>
      <c r="N83" s="161"/>
      <c r="O83" s="161"/>
      <c r="P83" s="161"/>
      <c r="Q83" s="161"/>
      <c r="R83" s="24"/>
      <c r="T83" s="23"/>
      <c r="U83" s="23"/>
    </row>
    <row r="84" spans="2:47" s="6" customFormat="1" ht="15" customHeight="1" x14ac:dyDescent="0.3">
      <c r="B84" s="22"/>
      <c r="C84" s="16" t="s">
        <v>28</v>
      </c>
      <c r="D84" s="23"/>
      <c r="E84" s="23"/>
      <c r="F84" s="17" t="str">
        <f>IF($E$15="","",$E$15)</f>
        <v>Vyplň údaj</v>
      </c>
      <c r="G84" s="23"/>
      <c r="H84" s="23"/>
      <c r="I84" s="23"/>
      <c r="J84" s="23"/>
      <c r="K84" s="16" t="s">
        <v>32</v>
      </c>
      <c r="L84" s="23"/>
      <c r="M84" s="178" t="str">
        <f>$E$21</f>
        <v xml:space="preserve"> </v>
      </c>
      <c r="N84" s="161"/>
      <c r="O84" s="161"/>
      <c r="P84" s="161"/>
      <c r="Q84" s="161"/>
      <c r="R84" s="24"/>
      <c r="T84" s="23"/>
      <c r="U84" s="23"/>
    </row>
    <row r="85" spans="2:47" s="6" customFormat="1" ht="11.25" customHeight="1" x14ac:dyDescent="0.3"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4"/>
      <c r="T85" s="23"/>
      <c r="U85" s="23"/>
    </row>
    <row r="86" spans="2:47" s="6" customFormat="1" ht="30" customHeight="1" x14ac:dyDescent="0.3">
      <c r="B86" s="22"/>
      <c r="C86" s="218" t="s">
        <v>108</v>
      </c>
      <c r="D86" s="157"/>
      <c r="E86" s="157"/>
      <c r="F86" s="157"/>
      <c r="G86" s="157"/>
      <c r="H86" s="32"/>
      <c r="I86" s="32"/>
      <c r="J86" s="32"/>
      <c r="K86" s="32"/>
      <c r="L86" s="32"/>
      <c r="M86" s="32"/>
      <c r="N86" s="218" t="s">
        <v>109</v>
      </c>
      <c r="O86" s="161"/>
      <c r="P86" s="161"/>
      <c r="Q86" s="161"/>
      <c r="R86" s="24"/>
      <c r="T86" s="23"/>
      <c r="U86" s="23"/>
    </row>
    <row r="87" spans="2:47" s="6" customFormat="1" ht="11.25" customHeight="1" x14ac:dyDescent="0.3">
      <c r="B87" s="2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4"/>
      <c r="T87" s="23"/>
      <c r="U87" s="23"/>
    </row>
    <row r="88" spans="2:47" s="6" customFormat="1" ht="30" customHeight="1" x14ac:dyDescent="0.3">
      <c r="B88" s="22"/>
      <c r="C88" s="66" t="s">
        <v>110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164">
        <f>ROUNDUP($N$135,2)</f>
        <v>0</v>
      </c>
      <c r="O88" s="161"/>
      <c r="P88" s="161"/>
      <c r="Q88" s="161"/>
      <c r="R88" s="24"/>
      <c r="T88" s="23"/>
      <c r="U88" s="23"/>
      <c r="AU88" s="6" t="s">
        <v>111</v>
      </c>
    </row>
    <row r="89" spans="2:47" s="71" customFormat="1" ht="25.5" customHeight="1" x14ac:dyDescent="0.3">
      <c r="B89" s="103"/>
      <c r="C89" s="104"/>
      <c r="D89" s="104" t="s">
        <v>112</v>
      </c>
      <c r="E89" s="104"/>
      <c r="F89" s="104"/>
      <c r="G89" s="104"/>
      <c r="H89" s="104"/>
      <c r="I89" s="104"/>
      <c r="J89" s="104"/>
      <c r="K89" s="104"/>
      <c r="L89" s="104"/>
      <c r="M89" s="104"/>
      <c r="N89" s="215">
        <f>ROUNDUP($N$136,2)</f>
        <v>0</v>
      </c>
      <c r="O89" s="216"/>
      <c r="P89" s="216"/>
      <c r="Q89" s="216"/>
      <c r="R89" s="105"/>
      <c r="T89" s="104"/>
      <c r="U89" s="104"/>
    </row>
    <row r="90" spans="2:47" s="106" customFormat="1" ht="21" customHeight="1" x14ac:dyDescent="0.3">
      <c r="B90" s="107"/>
      <c r="C90" s="84"/>
      <c r="D90" s="84" t="s">
        <v>113</v>
      </c>
      <c r="E90" s="84"/>
      <c r="F90" s="84"/>
      <c r="G90" s="84"/>
      <c r="H90" s="84"/>
      <c r="I90" s="84"/>
      <c r="J90" s="84"/>
      <c r="K90" s="84"/>
      <c r="L90" s="84"/>
      <c r="M90" s="84"/>
      <c r="N90" s="163">
        <f>ROUNDUP($N$137,2)</f>
        <v>0</v>
      </c>
      <c r="O90" s="217"/>
      <c r="P90" s="217"/>
      <c r="Q90" s="217"/>
      <c r="R90" s="108"/>
      <c r="T90" s="84"/>
      <c r="U90" s="84"/>
    </row>
    <row r="91" spans="2:47" s="106" customFormat="1" ht="21" customHeight="1" x14ac:dyDescent="0.3">
      <c r="B91" s="107"/>
      <c r="C91" s="84"/>
      <c r="D91" s="84" t="s">
        <v>114</v>
      </c>
      <c r="E91" s="84"/>
      <c r="F91" s="84"/>
      <c r="G91" s="84"/>
      <c r="H91" s="84"/>
      <c r="I91" s="84"/>
      <c r="J91" s="84"/>
      <c r="K91" s="84"/>
      <c r="L91" s="84"/>
      <c r="M91" s="84"/>
      <c r="N91" s="163">
        <f>ROUNDUP($N$139,2)</f>
        <v>0</v>
      </c>
      <c r="O91" s="217"/>
      <c r="P91" s="217"/>
      <c r="Q91" s="217"/>
      <c r="R91" s="108"/>
      <c r="T91" s="84"/>
      <c r="U91" s="84"/>
    </row>
    <row r="92" spans="2:47" s="106" customFormat="1" ht="21" customHeight="1" x14ac:dyDescent="0.3">
      <c r="B92" s="107"/>
      <c r="C92" s="84"/>
      <c r="D92" s="84" t="s">
        <v>115</v>
      </c>
      <c r="E92" s="84"/>
      <c r="F92" s="84"/>
      <c r="G92" s="84"/>
      <c r="H92" s="84"/>
      <c r="I92" s="84"/>
      <c r="J92" s="84"/>
      <c r="K92" s="84"/>
      <c r="L92" s="84"/>
      <c r="M92" s="84"/>
      <c r="N92" s="163">
        <f>ROUNDUP($N$145,2)</f>
        <v>0</v>
      </c>
      <c r="O92" s="217"/>
      <c r="P92" s="217"/>
      <c r="Q92" s="217"/>
      <c r="R92" s="108"/>
      <c r="T92" s="84"/>
      <c r="U92" s="84"/>
    </row>
    <row r="93" spans="2:47" s="106" customFormat="1" ht="15.75" customHeight="1" x14ac:dyDescent="0.3">
      <c r="B93" s="107"/>
      <c r="C93" s="84"/>
      <c r="D93" s="84" t="s">
        <v>116</v>
      </c>
      <c r="E93" s="84"/>
      <c r="F93" s="84"/>
      <c r="G93" s="84"/>
      <c r="H93" s="84"/>
      <c r="I93" s="84"/>
      <c r="J93" s="84"/>
      <c r="K93" s="84"/>
      <c r="L93" s="84"/>
      <c r="M93" s="84"/>
      <c r="N93" s="163">
        <f>ROUNDUP($N$154,2)</f>
        <v>0</v>
      </c>
      <c r="O93" s="217"/>
      <c r="P93" s="217"/>
      <c r="Q93" s="217"/>
      <c r="R93" s="108"/>
      <c r="T93" s="84"/>
      <c r="U93" s="84"/>
    </row>
    <row r="94" spans="2:47" s="71" customFormat="1" ht="25.5" customHeight="1" x14ac:dyDescent="0.3">
      <c r="B94" s="103"/>
      <c r="C94" s="104"/>
      <c r="D94" s="104" t="s">
        <v>117</v>
      </c>
      <c r="E94" s="104"/>
      <c r="F94" s="104"/>
      <c r="G94" s="104"/>
      <c r="H94" s="104"/>
      <c r="I94" s="104"/>
      <c r="J94" s="104"/>
      <c r="K94" s="104"/>
      <c r="L94" s="104"/>
      <c r="M94" s="104"/>
      <c r="N94" s="215">
        <f>ROUNDUP($N$159,2)</f>
        <v>0</v>
      </c>
      <c r="O94" s="216"/>
      <c r="P94" s="216"/>
      <c r="Q94" s="216"/>
      <c r="R94" s="105"/>
      <c r="T94" s="104"/>
      <c r="U94" s="104"/>
    </row>
    <row r="95" spans="2:47" s="106" customFormat="1" ht="21" customHeight="1" x14ac:dyDescent="0.3">
      <c r="B95" s="107"/>
      <c r="C95" s="84"/>
      <c r="D95" s="84" t="s">
        <v>118</v>
      </c>
      <c r="E95" s="84"/>
      <c r="F95" s="84"/>
      <c r="G95" s="84"/>
      <c r="H95" s="84"/>
      <c r="I95" s="84"/>
      <c r="J95" s="84"/>
      <c r="K95" s="84"/>
      <c r="L95" s="84"/>
      <c r="M95" s="84"/>
      <c r="N95" s="163">
        <f>ROUNDUP($N$160,2)</f>
        <v>0</v>
      </c>
      <c r="O95" s="217"/>
      <c r="P95" s="217"/>
      <c r="Q95" s="217"/>
      <c r="R95" s="108"/>
      <c r="T95" s="84"/>
      <c r="U95" s="84"/>
    </row>
    <row r="96" spans="2:47" s="106" customFormat="1" ht="21" customHeight="1" x14ac:dyDescent="0.3">
      <c r="B96" s="107"/>
      <c r="C96" s="84"/>
      <c r="D96" s="84" t="s">
        <v>119</v>
      </c>
      <c r="E96" s="84"/>
      <c r="F96" s="84"/>
      <c r="G96" s="84"/>
      <c r="H96" s="84"/>
      <c r="I96" s="84"/>
      <c r="J96" s="84"/>
      <c r="K96" s="84"/>
      <c r="L96" s="84"/>
      <c r="M96" s="84"/>
      <c r="N96" s="163">
        <f>ROUNDUP($N$163,2)</f>
        <v>0</v>
      </c>
      <c r="O96" s="217"/>
      <c r="P96" s="217"/>
      <c r="Q96" s="217"/>
      <c r="R96" s="108"/>
      <c r="T96" s="84"/>
      <c r="U96" s="84"/>
    </row>
    <row r="97" spans="2:62" s="106" customFormat="1" ht="21" customHeight="1" x14ac:dyDescent="0.3">
      <c r="B97" s="107"/>
      <c r="C97" s="84"/>
      <c r="D97" s="84" t="s">
        <v>120</v>
      </c>
      <c r="E97" s="84"/>
      <c r="F97" s="84"/>
      <c r="G97" s="84"/>
      <c r="H97" s="84"/>
      <c r="I97" s="84"/>
      <c r="J97" s="84"/>
      <c r="K97" s="84"/>
      <c r="L97" s="84"/>
      <c r="M97" s="84"/>
      <c r="N97" s="163">
        <f>ROUNDUP($N$168,2)</f>
        <v>0</v>
      </c>
      <c r="O97" s="217"/>
      <c r="P97" s="217"/>
      <c r="Q97" s="217"/>
      <c r="R97" s="108"/>
      <c r="T97" s="84"/>
      <c r="U97" s="84"/>
    </row>
    <row r="98" spans="2:62" s="106" customFormat="1" ht="21" customHeight="1" x14ac:dyDescent="0.3">
      <c r="B98" s="107"/>
      <c r="C98" s="84"/>
      <c r="D98" s="84" t="s">
        <v>121</v>
      </c>
      <c r="E98" s="84"/>
      <c r="F98" s="84"/>
      <c r="G98" s="84"/>
      <c r="H98" s="84"/>
      <c r="I98" s="84"/>
      <c r="J98" s="84"/>
      <c r="K98" s="84"/>
      <c r="L98" s="84"/>
      <c r="M98" s="84"/>
      <c r="N98" s="163">
        <f>ROUNDUP($N$176,2)</f>
        <v>0</v>
      </c>
      <c r="O98" s="217"/>
      <c r="P98" s="217"/>
      <c r="Q98" s="217"/>
      <c r="R98" s="108"/>
      <c r="T98" s="84"/>
      <c r="U98" s="84"/>
    </row>
    <row r="99" spans="2:62" s="106" customFormat="1" ht="21" customHeight="1" x14ac:dyDescent="0.3">
      <c r="B99" s="107"/>
      <c r="C99" s="84"/>
      <c r="D99" s="84" t="s">
        <v>122</v>
      </c>
      <c r="E99" s="84"/>
      <c r="F99" s="84"/>
      <c r="G99" s="84"/>
      <c r="H99" s="84"/>
      <c r="I99" s="84"/>
      <c r="J99" s="84"/>
      <c r="K99" s="84"/>
      <c r="L99" s="84"/>
      <c r="M99" s="84"/>
      <c r="N99" s="163">
        <f>ROUNDUP($N$195,2)</f>
        <v>0</v>
      </c>
      <c r="O99" s="217"/>
      <c r="P99" s="217"/>
      <c r="Q99" s="217"/>
      <c r="R99" s="108"/>
      <c r="T99" s="84"/>
      <c r="U99" s="84"/>
    </row>
    <row r="100" spans="2:62" s="106" customFormat="1" ht="21" customHeight="1" x14ac:dyDescent="0.3">
      <c r="B100" s="107"/>
      <c r="C100" s="84"/>
      <c r="D100" s="84" t="s">
        <v>123</v>
      </c>
      <c r="E100" s="84"/>
      <c r="F100" s="84"/>
      <c r="G100" s="84"/>
      <c r="H100" s="84"/>
      <c r="I100" s="84"/>
      <c r="J100" s="84"/>
      <c r="K100" s="84"/>
      <c r="L100" s="84"/>
      <c r="M100" s="84"/>
      <c r="N100" s="163">
        <f>ROUNDUP($N$197,2)</f>
        <v>0</v>
      </c>
      <c r="O100" s="217"/>
      <c r="P100" s="217"/>
      <c r="Q100" s="217"/>
      <c r="R100" s="108"/>
      <c r="T100" s="84"/>
      <c r="U100" s="84"/>
    </row>
    <row r="101" spans="2:62" s="106" customFormat="1" ht="21" customHeight="1" x14ac:dyDescent="0.3">
      <c r="B101" s="107"/>
      <c r="C101" s="84"/>
      <c r="D101" s="84" t="s">
        <v>124</v>
      </c>
      <c r="E101" s="84"/>
      <c r="F101" s="84"/>
      <c r="G101" s="84"/>
      <c r="H101" s="84"/>
      <c r="I101" s="84"/>
      <c r="J101" s="84"/>
      <c r="K101" s="84"/>
      <c r="L101" s="84"/>
      <c r="M101" s="84"/>
      <c r="N101" s="163">
        <f>ROUNDUP($N$200,2)</f>
        <v>0</v>
      </c>
      <c r="O101" s="217"/>
      <c r="P101" s="217"/>
      <c r="Q101" s="217"/>
      <c r="R101" s="108"/>
      <c r="T101" s="84"/>
      <c r="U101" s="84"/>
    </row>
    <row r="102" spans="2:62" s="106" customFormat="1" ht="21" customHeight="1" x14ac:dyDescent="0.3">
      <c r="B102" s="107"/>
      <c r="C102" s="84"/>
      <c r="D102" s="84" t="s">
        <v>125</v>
      </c>
      <c r="E102" s="84"/>
      <c r="F102" s="84"/>
      <c r="G102" s="84"/>
      <c r="H102" s="84"/>
      <c r="I102" s="84"/>
      <c r="J102" s="84"/>
      <c r="K102" s="84"/>
      <c r="L102" s="84"/>
      <c r="M102" s="84"/>
      <c r="N102" s="163">
        <f>ROUNDUP($N$202,2)</f>
        <v>0</v>
      </c>
      <c r="O102" s="217"/>
      <c r="P102" s="217"/>
      <c r="Q102" s="217"/>
      <c r="R102" s="108"/>
      <c r="T102" s="84"/>
      <c r="U102" s="84"/>
    </row>
    <row r="103" spans="2:62" s="106" customFormat="1" ht="21" customHeight="1" x14ac:dyDescent="0.3">
      <c r="B103" s="107"/>
      <c r="C103" s="84"/>
      <c r="D103" s="84" t="s">
        <v>126</v>
      </c>
      <c r="E103" s="84"/>
      <c r="F103" s="84"/>
      <c r="G103" s="84"/>
      <c r="H103" s="84"/>
      <c r="I103" s="84"/>
      <c r="J103" s="84"/>
      <c r="K103" s="84"/>
      <c r="L103" s="84"/>
      <c r="M103" s="84"/>
      <c r="N103" s="163">
        <f>ROUNDUP($N$210,2)</f>
        <v>0</v>
      </c>
      <c r="O103" s="217"/>
      <c r="P103" s="217"/>
      <c r="Q103" s="217"/>
      <c r="R103" s="108"/>
      <c r="T103" s="84"/>
      <c r="U103" s="84"/>
    </row>
    <row r="104" spans="2:62" s="106" customFormat="1" ht="21" customHeight="1" x14ac:dyDescent="0.3">
      <c r="B104" s="107"/>
      <c r="C104" s="84"/>
      <c r="D104" s="84" t="s">
        <v>127</v>
      </c>
      <c r="E104" s="84"/>
      <c r="F104" s="84"/>
      <c r="G104" s="84"/>
      <c r="H104" s="84"/>
      <c r="I104" s="84"/>
      <c r="J104" s="84"/>
      <c r="K104" s="84"/>
      <c r="L104" s="84"/>
      <c r="M104" s="84"/>
      <c r="N104" s="163">
        <f>ROUNDUP($N$217,2)</f>
        <v>0</v>
      </c>
      <c r="O104" s="217"/>
      <c r="P104" s="217"/>
      <c r="Q104" s="217"/>
      <c r="R104" s="108"/>
      <c r="T104" s="84"/>
      <c r="U104" s="84"/>
    </row>
    <row r="105" spans="2:62" s="106" customFormat="1" ht="21" customHeight="1" x14ac:dyDescent="0.3">
      <c r="B105" s="107"/>
      <c r="C105" s="84"/>
      <c r="D105" s="84" t="s">
        <v>128</v>
      </c>
      <c r="E105" s="84"/>
      <c r="F105" s="84"/>
      <c r="G105" s="84"/>
      <c r="H105" s="84"/>
      <c r="I105" s="84"/>
      <c r="J105" s="84"/>
      <c r="K105" s="84"/>
      <c r="L105" s="84"/>
      <c r="M105" s="84"/>
      <c r="N105" s="163">
        <f>ROUNDUP($N$221,2)</f>
        <v>0</v>
      </c>
      <c r="O105" s="217"/>
      <c r="P105" s="217"/>
      <c r="Q105" s="217"/>
      <c r="R105" s="108"/>
      <c r="T105" s="84"/>
      <c r="U105" s="84"/>
    </row>
    <row r="106" spans="2:62" s="106" customFormat="1" ht="21" customHeight="1" x14ac:dyDescent="0.3">
      <c r="B106" s="107"/>
      <c r="C106" s="84"/>
      <c r="D106" s="84" t="s">
        <v>129</v>
      </c>
      <c r="E106" s="84"/>
      <c r="F106" s="84"/>
      <c r="G106" s="84"/>
      <c r="H106" s="84"/>
      <c r="I106" s="84"/>
      <c r="J106" s="84"/>
      <c r="K106" s="84"/>
      <c r="L106" s="84"/>
      <c r="M106" s="84"/>
      <c r="N106" s="163">
        <f>ROUNDUP($N$223,2)</f>
        <v>0</v>
      </c>
      <c r="O106" s="217"/>
      <c r="P106" s="217"/>
      <c r="Q106" s="217"/>
      <c r="R106" s="108"/>
      <c r="T106" s="84"/>
      <c r="U106" s="84"/>
    </row>
    <row r="107" spans="2:62" s="71" customFormat="1" ht="25.5" customHeight="1" x14ac:dyDescent="0.3">
      <c r="B107" s="103"/>
      <c r="C107" s="104"/>
      <c r="D107" s="104" t="s">
        <v>130</v>
      </c>
      <c r="E107" s="104"/>
      <c r="F107" s="104"/>
      <c r="G107" s="104"/>
      <c r="H107" s="104"/>
      <c r="I107" s="104"/>
      <c r="J107" s="104"/>
      <c r="K107" s="104"/>
      <c r="L107" s="104"/>
      <c r="M107" s="104"/>
      <c r="N107" s="215">
        <f>ROUNDUP($N$228,2)</f>
        <v>0</v>
      </c>
      <c r="O107" s="216"/>
      <c r="P107" s="216"/>
      <c r="Q107" s="216"/>
      <c r="R107" s="105"/>
      <c r="T107" s="104"/>
      <c r="U107" s="104"/>
    </row>
    <row r="108" spans="2:62" s="71" customFormat="1" ht="22.5" customHeight="1" x14ac:dyDescent="0.35">
      <c r="B108" s="103"/>
      <c r="C108" s="104"/>
      <c r="D108" s="104" t="s">
        <v>131</v>
      </c>
      <c r="E108" s="104"/>
      <c r="F108" s="104"/>
      <c r="G108" s="104"/>
      <c r="H108" s="104"/>
      <c r="I108" s="104"/>
      <c r="J108" s="104"/>
      <c r="K108" s="104"/>
      <c r="L108" s="104"/>
      <c r="M108" s="104"/>
      <c r="N108" s="197">
        <f>$N$230</f>
        <v>0</v>
      </c>
      <c r="O108" s="216"/>
      <c r="P108" s="216"/>
      <c r="Q108" s="216"/>
      <c r="R108" s="105"/>
      <c r="T108" s="104"/>
      <c r="U108" s="104"/>
    </row>
    <row r="109" spans="2:62" s="6" customFormat="1" ht="22.5" customHeight="1" x14ac:dyDescent="0.3"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T109" s="23"/>
      <c r="U109" s="23"/>
    </row>
    <row r="110" spans="2:62" s="6" customFormat="1" ht="30" customHeight="1" x14ac:dyDescent="0.3">
      <c r="B110" s="22"/>
      <c r="C110" s="66" t="s">
        <v>132</v>
      </c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164">
        <f>ROUNDUP($N$111+$N$112+$N$113+$N$114+$N$115+$N$116,2)</f>
        <v>0</v>
      </c>
      <c r="O110" s="161"/>
      <c r="P110" s="161"/>
      <c r="Q110" s="161"/>
      <c r="R110" s="24"/>
      <c r="T110" s="109"/>
      <c r="U110" s="110" t="s">
        <v>36</v>
      </c>
    </row>
    <row r="111" spans="2:62" s="6" customFormat="1" ht="18.75" customHeight="1" x14ac:dyDescent="0.3">
      <c r="B111" s="22"/>
      <c r="C111" s="23"/>
      <c r="D111" s="160" t="s">
        <v>133</v>
      </c>
      <c r="E111" s="161"/>
      <c r="F111" s="161"/>
      <c r="G111" s="161"/>
      <c r="H111" s="161"/>
      <c r="I111" s="23"/>
      <c r="J111" s="23"/>
      <c r="K111" s="23"/>
      <c r="L111" s="23"/>
      <c r="M111" s="23"/>
      <c r="N111" s="162">
        <f>ROUNDUP($N$88*$T$111,2)</f>
        <v>0</v>
      </c>
      <c r="O111" s="161"/>
      <c r="P111" s="161"/>
      <c r="Q111" s="161"/>
      <c r="R111" s="24"/>
      <c r="T111" s="111"/>
      <c r="U111" s="112" t="s">
        <v>37</v>
      </c>
      <c r="AY111" s="6" t="s">
        <v>134</v>
      </c>
      <c r="BE111" s="88">
        <f>IF($U$111="základní",$N$111,0)</f>
        <v>0</v>
      </c>
      <c r="BF111" s="88">
        <f>IF($U$111="snížená",$N$111,0)</f>
        <v>0</v>
      </c>
      <c r="BG111" s="88">
        <f>IF($U$111="zákl. přenesená",$N$111,0)</f>
        <v>0</v>
      </c>
      <c r="BH111" s="88">
        <f>IF($U$111="sníž. přenesená",$N$111,0)</f>
        <v>0</v>
      </c>
      <c r="BI111" s="88">
        <f>IF($U$111="nulová",$N$111,0)</f>
        <v>0</v>
      </c>
      <c r="BJ111" s="6" t="s">
        <v>17</v>
      </c>
    </row>
    <row r="112" spans="2:62" s="6" customFormat="1" ht="18.75" customHeight="1" x14ac:dyDescent="0.3">
      <c r="B112" s="22"/>
      <c r="C112" s="23"/>
      <c r="D112" s="160" t="s">
        <v>135</v>
      </c>
      <c r="E112" s="161"/>
      <c r="F112" s="161"/>
      <c r="G112" s="161"/>
      <c r="H112" s="161"/>
      <c r="I112" s="23"/>
      <c r="J112" s="23"/>
      <c r="K112" s="23"/>
      <c r="L112" s="23"/>
      <c r="M112" s="23"/>
      <c r="N112" s="162">
        <f>ROUNDUP($N$88*$T$112,2)</f>
        <v>0</v>
      </c>
      <c r="O112" s="161"/>
      <c r="P112" s="161"/>
      <c r="Q112" s="161"/>
      <c r="R112" s="24"/>
      <c r="T112" s="111"/>
      <c r="U112" s="112" t="s">
        <v>37</v>
      </c>
      <c r="AY112" s="6" t="s">
        <v>134</v>
      </c>
      <c r="BE112" s="88">
        <f>IF($U$112="základní",$N$112,0)</f>
        <v>0</v>
      </c>
      <c r="BF112" s="88">
        <f>IF($U$112="snížená",$N$112,0)</f>
        <v>0</v>
      </c>
      <c r="BG112" s="88">
        <f>IF($U$112="zákl. přenesená",$N$112,0)</f>
        <v>0</v>
      </c>
      <c r="BH112" s="88">
        <f>IF($U$112="sníž. přenesená",$N$112,0)</f>
        <v>0</v>
      </c>
      <c r="BI112" s="88">
        <f>IF($U$112="nulová",$N$112,0)</f>
        <v>0</v>
      </c>
      <c r="BJ112" s="6" t="s">
        <v>17</v>
      </c>
    </row>
    <row r="113" spans="2:62" s="6" customFormat="1" ht="18.75" customHeight="1" x14ac:dyDescent="0.3">
      <c r="B113" s="22"/>
      <c r="C113" s="23"/>
      <c r="D113" s="160" t="s">
        <v>136</v>
      </c>
      <c r="E113" s="161"/>
      <c r="F113" s="161"/>
      <c r="G113" s="161"/>
      <c r="H113" s="161"/>
      <c r="I113" s="23"/>
      <c r="J113" s="23"/>
      <c r="K113" s="23"/>
      <c r="L113" s="23"/>
      <c r="M113" s="23"/>
      <c r="N113" s="162">
        <f>ROUNDUP($N$88*$T$113,2)</f>
        <v>0</v>
      </c>
      <c r="O113" s="161"/>
      <c r="P113" s="161"/>
      <c r="Q113" s="161"/>
      <c r="R113" s="24"/>
      <c r="T113" s="111"/>
      <c r="U113" s="112" t="s">
        <v>37</v>
      </c>
      <c r="AY113" s="6" t="s">
        <v>134</v>
      </c>
      <c r="BE113" s="88">
        <f>IF($U$113="základní",$N$113,0)</f>
        <v>0</v>
      </c>
      <c r="BF113" s="88">
        <f>IF($U$113="snížená",$N$113,0)</f>
        <v>0</v>
      </c>
      <c r="BG113" s="88">
        <f>IF($U$113="zákl. přenesená",$N$113,0)</f>
        <v>0</v>
      </c>
      <c r="BH113" s="88">
        <f>IF($U$113="sníž. přenesená",$N$113,0)</f>
        <v>0</v>
      </c>
      <c r="BI113" s="88">
        <f>IF($U$113="nulová",$N$113,0)</f>
        <v>0</v>
      </c>
      <c r="BJ113" s="6" t="s">
        <v>17</v>
      </c>
    </row>
    <row r="114" spans="2:62" s="6" customFormat="1" ht="18.75" customHeight="1" x14ac:dyDescent="0.3">
      <c r="B114" s="22"/>
      <c r="C114" s="23"/>
      <c r="D114" s="160" t="s">
        <v>137</v>
      </c>
      <c r="E114" s="161"/>
      <c r="F114" s="161"/>
      <c r="G114" s="161"/>
      <c r="H114" s="161"/>
      <c r="I114" s="23"/>
      <c r="J114" s="23"/>
      <c r="K114" s="23"/>
      <c r="L114" s="23"/>
      <c r="M114" s="23"/>
      <c r="N114" s="162">
        <f>ROUNDUP($N$88*$T$114,2)</f>
        <v>0</v>
      </c>
      <c r="O114" s="161"/>
      <c r="P114" s="161"/>
      <c r="Q114" s="161"/>
      <c r="R114" s="24"/>
      <c r="T114" s="111"/>
      <c r="U114" s="112" t="s">
        <v>37</v>
      </c>
      <c r="AY114" s="6" t="s">
        <v>134</v>
      </c>
      <c r="BE114" s="88">
        <f>IF($U$114="základní",$N$114,0)</f>
        <v>0</v>
      </c>
      <c r="BF114" s="88">
        <f>IF($U$114="snížená",$N$114,0)</f>
        <v>0</v>
      </c>
      <c r="BG114" s="88">
        <f>IF($U$114="zákl. přenesená",$N$114,0)</f>
        <v>0</v>
      </c>
      <c r="BH114" s="88">
        <f>IF($U$114="sníž. přenesená",$N$114,0)</f>
        <v>0</v>
      </c>
      <c r="BI114" s="88">
        <f>IF($U$114="nulová",$N$114,0)</f>
        <v>0</v>
      </c>
      <c r="BJ114" s="6" t="s">
        <v>17</v>
      </c>
    </row>
    <row r="115" spans="2:62" s="6" customFormat="1" ht="18.75" customHeight="1" x14ac:dyDescent="0.3">
      <c r="B115" s="22"/>
      <c r="C115" s="23"/>
      <c r="D115" s="160" t="s">
        <v>138</v>
      </c>
      <c r="E115" s="161"/>
      <c r="F115" s="161"/>
      <c r="G115" s="161"/>
      <c r="H115" s="161"/>
      <c r="I115" s="23"/>
      <c r="J115" s="23"/>
      <c r="K115" s="23"/>
      <c r="L115" s="23"/>
      <c r="M115" s="23"/>
      <c r="N115" s="162">
        <f>ROUNDUP($N$88*$T$115,2)</f>
        <v>0</v>
      </c>
      <c r="O115" s="161"/>
      <c r="P115" s="161"/>
      <c r="Q115" s="161"/>
      <c r="R115" s="24"/>
      <c r="T115" s="111"/>
      <c r="U115" s="112" t="s">
        <v>37</v>
      </c>
      <c r="AY115" s="6" t="s">
        <v>134</v>
      </c>
      <c r="BE115" s="88">
        <f>IF($U$115="základní",$N$115,0)</f>
        <v>0</v>
      </c>
      <c r="BF115" s="88">
        <f>IF($U$115="snížená",$N$115,0)</f>
        <v>0</v>
      </c>
      <c r="BG115" s="88">
        <f>IF($U$115="zákl. přenesená",$N$115,0)</f>
        <v>0</v>
      </c>
      <c r="BH115" s="88">
        <f>IF($U$115="sníž. přenesená",$N$115,0)</f>
        <v>0</v>
      </c>
      <c r="BI115" s="88">
        <f>IF($U$115="nulová",$N$115,0)</f>
        <v>0</v>
      </c>
      <c r="BJ115" s="6" t="s">
        <v>17</v>
      </c>
    </row>
    <row r="116" spans="2:62" s="6" customFormat="1" ht="18.75" customHeight="1" x14ac:dyDescent="0.3">
      <c r="B116" s="22"/>
      <c r="C116" s="23"/>
      <c r="D116" s="84" t="s">
        <v>139</v>
      </c>
      <c r="E116" s="23"/>
      <c r="F116" s="23"/>
      <c r="G116" s="23"/>
      <c r="H116" s="23"/>
      <c r="I116" s="23"/>
      <c r="J116" s="23"/>
      <c r="K116" s="23"/>
      <c r="L116" s="23"/>
      <c r="M116" s="23"/>
      <c r="N116" s="162">
        <f>ROUNDUP($N$88*$T$116,2)</f>
        <v>0</v>
      </c>
      <c r="O116" s="161"/>
      <c r="P116" s="161"/>
      <c r="Q116" s="161"/>
      <c r="R116" s="24"/>
      <c r="T116" s="113"/>
      <c r="U116" s="114" t="s">
        <v>37</v>
      </c>
      <c r="AY116" s="6" t="s">
        <v>140</v>
      </c>
      <c r="BE116" s="88">
        <f>IF($U$116="základní",$N$116,0)</f>
        <v>0</v>
      </c>
      <c r="BF116" s="88">
        <f>IF($U$116="snížená",$N$116,0)</f>
        <v>0</v>
      </c>
      <c r="BG116" s="88">
        <f>IF($U$116="zákl. přenesená",$N$116,0)</f>
        <v>0</v>
      </c>
      <c r="BH116" s="88">
        <f>IF($U$116="sníž. přenesená",$N$116,0)</f>
        <v>0</v>
      </c>
      <c r="BI116" s="88">
        <f>IF($U$116="nulová",$N$116,0)</f>
        <v>0</v>
      </c>
      <c r="BJ116" s="6" t="s">
        <v>17</v>
      </c>
    </row>
    <row r="117" spans="2:62" s="6" customFormat="1" ht="14.25" customHeight="1" x14ac:dyDescent="0.3"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4"/>
      <c r="T117" s="23"/>
      <c r="U117" s="23"/>
    </row>
    <row r="118" spans="2:62" s="6" customFormat="1" ht="30" customHeight="1" x14ac:dyDescent="0.3">
      <c r="B118" s="22"/>
      <c r="C118" s="95" t="s">
        <v>100</v>
      </c>
      <c r="D118" s="32"/>
      <c r="E118" s="32"/>
      <c r="F118" s="32"/>
      <c r="G118" s="32"/>
      <c r="H118" s="32"/>
      <c r="I118" s="32"/>
      <c r="J118" s="32"/>
      <c r="K118" s="32"/>
      <c r="L118" s="156">
        <f>ROUNDUP(SUM($N$88+$N$110),2)</f>
        <v>0</v>
      </c>
      <c r="M118" s="157"/>
      <c r="N118" s="157"/>
      <c r="O118" s="157"/>
      <c r="P118" s="157"/>
      <c r="Q118" s="157"/>
      <c r="R118" s="24"/>
      <c r="T118" s="23"/>
      <c r="U118" s="23"/>
    </row>
    <row r="119" spans="2:62" s="6" customFormat="1" ht="7.5" customHeight="1" x14ac:dyDescent="0.3"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7"/>
      <c r="T119" s="23"/>
      <c r="U119" s="23"/>
    </row>
    <row r="123" spans="2:62" s="6" customFormat="1" ht="7.5" customHeight="1" x14ac:dyDescent="0.3"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50"/>
    </row>
    <row r="124" spans="2:62" s="6" customFormat="1" ht="37.5" customHeight="1" x14ac:dyDescent="0.3">
      <c r="B124" s="22"/>
      <c r="C124" s="176" t="s">
        <v>141</v>
      </c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24"/>
    </row>
    <row r="125" spans="2:62" s="6" customFormat="1" ht="7.5" customHeight="1" x14ac:dyDescent="0.3">
      <c r="B125" s="22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4"/>
    </row>
    <row r="126" spans="2:62" s="6" customFormat="1" ht="15" customHeight="1" x14ac:dyDescent="0.3">
      <c r="B126" s="22"/>
      <c r="C126" s="16" t="s">
        <v>14</v>
      </c>
      <c r="D126" s="23"/>
      <c r="E126" s="23"/>
      <c r="F126" s="213" t="str">
        <f>$F$6</f>
        <v>Gymnazium_Chodovicka - rekonstrukce toalet a invalidní WC</v>
      </c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23"/>
      <c r="R126" s="24"/>
    </row>
    <row r="127" spans="2:62" s="6" customFormat="1" ht="15" customHeight="1" x14ac:dyDescent="0.3">
      <c r="B127" s="22"/>
      <c r="C127" s="15" t="s">
        <v>104</v>
      </c>
      <c r="D127" s="23"/>
      <c r="E127" s="23"/>
      <c r="F127" s="177" t="str">
        <f>$F$7</f>
        <v>SO01 - WC dívky a chlapci</v>
      </c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23"/>
      <c r="R127" s="24"/>
    </row>
    <row r="128" spans="2:62" s="6" customFormat="1" ht="7.5" customHeight="1" x14ac:dyDescent="0.3">
      <c r="B128" s="22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4"/>
    </row>
    <row r="129" spans="2:64" s="6" customFormat="1" ht="18.75" customHeight="1" x14ac:dyDescent="0.3">
      <c r="B129" s="22"/>
      <c r="C129" s="16" t="s">
        <v>18</v>
      </c>
      <c r="D129" s="23"/>
      <c r="E129" s="23"/>
      <c r="F129" s="17" t="str">
        <f>$F$9</f>
        <v>Chodovická 2250</v>
      </c>
      <c r="G129" s="23"/>
      <c r="H129" s="23"/>
      <c r="I129" s="23"/>
      <c r="J129" s="23"/>
      <c r="K129" s="16" t="s">
        <v>20</v>
      </c>
      <c r="L129" s="23"/>
      <c r="M129" s="214" t="str">
        <f>IF($O$9="","",$O$9)</f>
        <v>17.05.2018</v>
      </c>
      <c r="N129" s="161"/>
      <c r="O129" s="161"/>
      <c r="P129" s="161"/>
      <c r="Q129" s="23"/>
      <c r="R129" s="24"/>
    </row>
    <row r="130" spans="2:64" s="6" customFormat="1" ht="7.5" customHeight="1" x14ac:dyDescent="0.3">
      <c r="B130" s="22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4"/>
    </row>
    <row r="131" spans="2:64" s="6" customFormat="1" ht="15.75" customHeight="1" x14ac:dyDescent="0.3">
      <c r="B131" s="22"/>
      <c r="C131" s="16" t="s">
        <v>24</v>
      </c>
      <c r="D131" s="23"/>
      <c r="E131" s="23"/>
      <c r="F131" s="17" t="str">
        <f>$E$12</f>
        <v xml:space="preserve"> </v>
      </c>
      <c r="G131" s="23"/>
      <c r="H131" s="23"/>
      <c r="I131" s="23"/>
      <c r="J131" s="23"/>
      <c r="K131" s="16" t="s">
        <v>30</v>
      </c>
      <c r="L131" s="23"/>
      <c r="M131" s="178" t="str">
        <f>$E$18</f>
        <v xml:space="preserve"> </v>
      </c>
      <c r="N131" s="161"/>
      <c r="O131" s="161"/>
      <c r="P131" s="161"/>
      <c r="Q131" s="161"/>
      <c r="R131" s="24"/>
    </row>
    <row r="132" spans="2:64" s="6" customFormat="1" ht="15" customHeight="1" x14ac:dyDescent="0.3">
      <c r="B132" s="22"/>
      <c r="C132" s="16" t="s">
        <v>28</v>
      </c>
      <c r="D132" s="23"/>
      <c r="E132" s="23"/>
      <c r="F132" s="17" t="str">
        <f>IF($E$15="","",$E$15)</f>
        <v>Vyplň údaj</v>
      </c>
      <c r="G132" s="23"/>
      <c r="H132" s="23"/>
      <c r="I132" s="23"/>
      <c r="J132" s="23"/>
      <c r="K132" s="16" t="s">
        <v>32</v>
      </c>
      <c r="L132" s="23"/>
      <c r="M132" s="178" t="str">
        <f>$E$21</f>
        <v xml:space="preserve"> </v>
      </c>
      <c r="N132" s="161"/>
      <c r="O132" s="161"/>
      <c r="P132" s="161"/>
      <c r="Q132" s="161"/>
      <c r="R132" s="24"/>
    </row>
    <row r="133" spans="2:64" s="6" customFormat="1" ht="11.25" customHeight="1" x14ac:dyDescent="0.3"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4"/>
    </row>
    <row r="134" spans="2:64" s="115" customFormat="1" ht="30" customHeight="1" x14ac:dyDescent="0.3">
      <c r="B134" s="116"/>
      <c r="C134" s="117" t="s">
        <v>142</v>
      </c>
      <c r="D134" s="118" t="s">
        <v>143</v>
      </c>
      <c r="E134" s="118" t="s">
        <v>54</v>
      </c>
      <c r="F134" s="210" t="s">
        <v>144</v>
      </c>
      <c r="G134" s="211"/>
      <c r="H134" s="211"/>
      <c r="I134" s="211"/>
      <c r="J134" s="118" t="s">
        <v>145</v>
      </c>
      <c r="K134" s="118" t="s">
        <v>146</v>
      </c>
      <c r="L134" s="210" t="s">
        <v>147</v>
      </c>
      <c r="M134" s="211"/>
      <c r="N134" s="210" t="s">
        <v>148</v>
      </c>
      <c r="O134" s="211"/>
      <c r="P134" s="211"/>
      <c r="Q134" s="212"/>
      <c r="R134" s="119"/>
      <c r="T134" s="61" t="s">
        <v>149</v>
      </c>
      <c r="U134" s="62" t="s">
        <v>36</v>
      </c>
      <c r="V134" s="62" t="s">
        <v>150</v>
      </c>
      <c r="W134" s="62" t="s">
        <v>151</v>
      </c>
      <c r="X134" s="62" t="s">
        <v>152</v>
      </c>
      <c r="Y134" s="62" t="s">
        <v>153</v>
      </c>
      <c r="Z134" s="62" t="s">
        <v>154</v>
      </c>
      <c r="AA134" s="63" t="s">
        <v>155</v>
      </c>
    </row>
    <row r="135" spans="2:64" s="6" customFormat="1" ht="30" customHeight="1" x14ac:dyDescent="0.35">
      <c r="B135" s="22"/>
      <c r="C135" s="66" t="s">
        <v>106</v>
      </c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04">
        <f>$BK$135</f>
        <v>0</v>
      </c>
      <c r="O135" s="161"/>
      <c r="P135" s="161"/>
      <c r="Q135" s="161"/>
      <c r="R135" s="24"/>
      <c r="T135" s="65"/>
      <c r="U135" s="37"/>
      <c r="V135" s="37"/>
      <c r="W135" s="120">
        <f>$W$136+$W$159+$W$228+$W$230</f>
        <v>2107.258433</v>
      </c>
      <c r="X135" s="37"/>
      <c r="Y135" s="120">
        <f>$Y$136+$Y$159+$Y$228+$Y$230</f>
        <v>40.493442600000002</v>
      </c>
      <c r="Z135" s="37"/>
      <c r="AA135" s="121">
        <f>$AA$136+$AA$159+$AA$228+$AA$230</f>
        <v>80.583765000000014</v>
      </c>
      <c r="AT135" s="6" t="s">
        <v>71</v>
      </c>
      <c r="AU135" s="6" t="s">
        <v>111</v>
      </c>
      <c r="BK135" s="122">
        <f>$BK$136+$BK$159+$BK$228+$BK$230</f>
        <v>0</v>
      </c>
    </row>
    <row r="136" spans="2:64" s="123" customFormat="1" ht="37.5" customHeight="1" x14ac:dyDescent="0.35">
      <c r="B136" s="124"/>
      <c r="C136" s="125"/>
      <c r="D136" s="126" t="s">
        <v>112</v>
      </c>
      <c r="E136" s="125"/>
      <c r="F136" s="125"/>
      <c r="G136" s="125"/>
      <c r="H136" s="125"/>
      <c r="I136" s="125"/>
      <c r="J136" s="125"/>
      <c r="K136" s="125"/>
      <c r="L136" s="125"/>
      <c r="M136" s="125"/>
      <c r="N136" s="197">
        <f>$BK$136</f>
        <v>0</v>
      </c>
      <c r="O136" s="196"/>
      <c r="P136" s="196"/>
      <c r="Q136" s="196"/>
      <c r="R136" s="127"/>
      <c r="T136" s="128"/>
      <c r="U136" s="125"/>
      <c r="V136" s="125"/>
      <c r="W136" s="129">
        <f>$W$137+$W$139+$W$145</f>
        <v>810.09867999999994</v>
      </c>
      <c r="X136" s="125"/>
      <c r="Y136" s="129">
        <f>$Y$137+$Y$139+$Y$145</f>
        <v>21.964306400000002</v>
      </c>
      <c r="Z136" s="125"/>
      <c r="AA136" s="130">
        <f>$AA$137+$AA$139+$AA$145</f>
        <v>79.282080000000008</v>
      </c>
      <c r="AR136" s="131" t="s">
        <v>17</v>
      </c>
      <c r="AT136" s="131" t="s">
        <v>71</v>
      </c>
      <c r="AU136" s="131" t="s">
        <v>72</v>
      </c>
      <c r="AY136" s="131" t="s">
        <v>156</v>
      </c>
      <c r="BK136" s="132">
        <f>$BK$137+$BK$139+$BK$145</f>
        <v>0</v>
      </c>
    </row>
    <row r="137" spans="2:64" s="123" customFormat="1" ht="21" customHeight="1" x14ac:dyDescent="0.3">
      <c r="B137" s="124"/>
      <c r="C137" s="125"/>
      <c r="D137" s="133" t="s">
        <v>113</v>
      </c>
      <c r="E137" s="125"/>
      <c r="F137" s="125"/>
      <c r="G137" s="125"/>
      <c r="H137" s="125"/>
      <c r="I137" s="125"/>
      <c r="J137" s="125"/>
      <c r="K137" s="125"/>
      <c r="L137" s="125"/>
      <c r="M137" s="125"/>
      <c r="N137" s="195">
        <f>$BK$137</f>
        <v>0</v>
      </c>
      <c r="O137" s="196"/>
      <c r="P137" s="196"/>
      <c r="Q137" s="196"/>
      <c r="R137" s="127"/>
      <c r="T137" s="128"/>
      <c r="U137" s="125"/>
      <c r="V137" s="125"/>
      <c r="W137" s="129">
        <f>$W$138</f>
        <v>34.9392</v>
      </c>
      <c r="X137" s="125"/>
      <c r="Y137" s="129">
        <f>$Y$138</f>
        <v>2.7958319999999994</v>
      </c>
      <c r="Z137" s="125"/>
      <c r="AA137" s="130">
        <f>$AA$138</f>
        <v>0</v>
      </c>
      <c r="AR137" s="131" t="s">
        <v>17</v>
      </c>
      <c r="AT137" s="131" t="s">
        <v>71</v>
      </c>
      <c r="AU137" s="131" t="s">
        <v>17</v>
      </c>
      <c r="AY137" s="131" t="s">
        <v>156</v>
      </c>
      <c r="BK137" s="132">
        <f>$BK$138</f>
        <v>0</v>
      </c>
    </row>
    <row r="138" spans="2:64" s="6" customFormat="1" ht="39" customHeight="1" x14ac:dyDescent="0.3">
      <c r="B138" s="22"/>
      <c r="C138" s="134" t="s">
        <v>17</v>
      </c>
      <c r="D138" s="134" t="s">
        <v>157</v>
      </c>
      <c r="E138" s="135" t="s">
        <v>158</v>
      </c>
      <c r="F138" s="205" t="s">
        <v>159</v>
      </c>
      <c r="G138" s="202"/>
      <c r="H138" s="202"/>
      <c r="I138" s="202"/>
      <c r="J138" s="136" t="s">
        <v>160</v>
      </c>
      <c r="K138" s="137">
        <v>69.599999999999994</v>
      </c>
      <c r="L138" s="201">
        <v>0</v>
      </c>
      <c r="M138" s="202"/>
      <c r="N138" s="203">
        <f>ROUND($L$138*$K$138,2)</f>
        <v>0</v>
      </c>
      <c r="O138" s="202"/>
      <c r="P138" s="202"/>
      <c r="Q138" s="202"/>
      <c r="R138" s="24"/>
      <c r="T138" s="138"/>
      <c r="U138" s="30" t="s">
        <v>37</v>
      </c>
      <c r="V138" s="139">
        <v>0.502</v>
      </c>
      <c r="W138" s="139">
        <f>$V$138*$K$138</f>
        <v>34.9392</v>
      </c>
      <c r="X138" s="139">
        <v>4.0169999999999997E-2</v>
      </c>
      <c r="Y138" s="139">
        <f>$X$138*$K$138</f>
        <v>2.7958319999999994</v>
      </c>
      <c r="Z138" s="139">
        <v>0</v>
      </c>
      <c r="AA138" s="140">
        <f>$Z$138*$K$138</f>
        <v>0</v>
      </c>
      <c r="AR138" s="6" t="s">
        <v>161</v>
      </c>
      <c r="AT138" s="6" t="s">
        <v>157</v>
      </c>
      <c r="AU138" s="6" t="s">
        <v>102</v>
      </c>
      <c r="AY138" s="6" t="s">
        <v>156</v>
      </c>
      <c r="BE138" s="88">
        <f>IF($U$138="základní",$N$138,0)</f>
        <v>0</v>
      </c>
      <c r="BF138" s="88">
        <f>IF($U$138="snížená",$N$138,0)</f>
        <v>0</v>
      </c>
      <c r="BG138" s="88">
        <f>IF($U$138="zákl. přenesená",$N$138,0)</f>
        <v>0</v>
      </c>
      <c r="BH138" s="88">
        <f>IF($U$138="sníž. přenesená",$N$138,0)</f>
        <v>0</v>
      </c>
      <c r="BI138" s="88">
        <f>IF($U$138="nulová",$N$138,0)</f>
        <v>0</v>
      </c>
      <c r="BJ138" s="6" t="s">
        <v>17</v>
      </c>
      <c r="BK138" s="88">
        <f>ROUND($L$138*$K$138,2)</f>
        <v>0</v>
      </c>
      <c r="BL138" s="6" t="s">
        <v>161</v>
      </c>
    </row>
    <row r="139" spans="2:64" s="123" customFormat="1" ht="30.75" customHeight="1" x14ac:dyDescent="0.3">
      <c r="B139" s="124"/>
      <c r="C139" s="125"/>
      <c r="D139" s="133" t="s">
        <v>114</v>
      </c>
      <c r="E139" s="125"/>
      <c r="F139" s="125"/>
      <c r="G139" s="125"/>
      <c r="H139" s="125"/>
      <c r="I139" s="125"/>
      <c r="J139" s="125"/>
      <c r="K139" s="125"/>
      <c r="L139" s="125"/>
      <c r="M139" s="125"/>
      <c r="N139" s="195">
        <f>$BK$139</f>
        <v>0</v>
      </c>
      <c r="O139" s="196"/>
      <c r="P139" s="196"/>
      <c r="Q139" s="196"/>
      <c r="R139" s="127"/>
      <c r="T139" s="128"/>
      <c r="U139" s="125"/>
      <c r="V139" s="125"/>
      <c r="W139" s="129">
        <f>SUM($W$140:$W$144)</f>
        <v>260.63051999999999</v>
      </c>
      <c r="X139" s="125"/>
      <c r="Y139" s="129">
        <f>SUM($Y$140:$Y$144)</f>
        <v>19.152474400000003</v>
      </c>
      <c r="Z139" s="125"/>
      <c r="AA139" s="130">
        <f>SUM($AA$140:$AA$144)</f>
        <v>0</v>
      </c>
      <c r="AR139" s="131" t="s">
        <v>17</v>
      </c>
      <c r="AT139" s="131" t="s">
        <v>71</v>
      </c>
      <c r="AU139" s="131" t="s">
        <v>17</v>
      </c>
      <c r="AY139" s="131" t="s">
        <v>156</v>
      </c>
      <c r="BK139" s="132">
        <f>SUM($BK$140:$BK$144)</f>
        <v>0</v>
      </c>
    </row>
    <row r="140" spans="2:64" s="6" customFormat="1" ht="27" customHeight="1" x14ac:dyDescent="0.3">
      <c r="B140" s="22"/>
      <c r="C140" s="134" t="s">
        <v>102</v>
      </c>
      <c r="D140" s="134" t="s">
        <v>157</v>
      </c>
      <c r="E140" s="135" t="s">
        <v>162</v>
      </c>
      <c r="F140" s="205" t="s">
        <v>163</v>
      </c>
      <c r="G140" s="202"/>
      <c r="H140" s="202"/>
      <c r="I140" s="202"/>
      <c r="J140" s="136" t="s">
        <v>160</v>
      </c>
      <c r="K140" s="137">
        <v>253.38</v>
      </c>
      <c r="L140" s="201">
        <v>0</v>
      </c>
      <c r="M140" s="202"/>
      <c r="N140" s="203">
        <f>ROUND($L$140*$K$140,2)</f>
        <v>0</v>
      </c>
      <c r="O140" s="202"/>
      <c r="P140" s="202"/>
      <c r="Q140" s="202"/>
      <c r="R140" s="24"/>
      <c r="T140" s="138"/>
      <c r="U140" s="30" t="s">
        <v>37</v>
      </c>
      <c r="V140" s="139">
        <v>0.47399999999999998</v>
      </c>
      <c r="W140" s="139">
        <f>$V$140*$K$140</f>
        <v>120.10211999999999</v>
      </c>
      <c r="X140" s="139">
        <v>2.0480000000000002E-2</v>
      </c>
      <c r="Y140" s="139">
        <f>$X$140*$K$140</f>
        <v>5.1892224000000002</v>
      </c>
      <c r="Z140" s="139">
        <v>0</v>
      </c>
      <c r="AA140" s="140">
        <f>$Z$140*$K$140</f>
        <v>0</v>
      </c>
      <c r="AR140" s="6" t="s">
        <v>161</v>
      </c>
      <c r="AT140" s="6" t="s">
        <v>157</v>
      </c>
      <c r="AU140" s="6" t="s">
        <v>102</v>
      </c>
      <c r="AY140" s="6" t="s">
        <v>156</v>
      </c>
      <c r="BE140" s="88">
        <f>IF($U$140="základní",$N$140,0)</f>
        <v>0</v>
      </c>
      <c r="BF140" s="88">
        <f>IF($U$140="snížená",$N$140,0)</f>
        <v>0</v>
      </c>
      <c r="BG140" s="88">
        <f>IF($U$140="zákl. přenesená",$N$140,0)</f>
        <v>0</v>
      </c>
      <c r="BH140" s="88">
        <f>IF($U$140="sníž. přenesená",$N$140,0)</f>
        <v>0</v>
      </c>
      <c r="BI140" s="88">
        <f>IF($U$140="nulová",$N$140,0)</f>
        <v>0</v>
      </c>
      <c r="BJ140" s="6" t="s">
        <v>17</v>
      </c>
      <c r="BK140" s="88">
        <f>ROUND($L$140*$K$140,2)</f>
        <v>0</v>
      </c>
      <c r="BL140" s="6" t="s">
        <v>161</v>
      </c>
    </row>
    <row r="141" spans="2:64" s="6" customFormat="1" ht="27" customHeight="1" x14ac:dyDescent="0.3">
      <c r="B141" s="22"/>
      <c r="C141" s="134" t="s">
        <v>164</v>
      </c>
      <c r="D141" s="134" t="s">
        <v>157</v>
      </c>
      <c r="E141" s="135" t="s">
        <v>165</v>
      </c>
      <c r="F141" s="205" t="s">
        <v>166</v>
      </c>
      <c r="G141" s="202"/>
      <c r="H141" s="202"/>
      <c r="I141" s="202"/>
      <c r="J141" s="136" t="s">
        <v>160</v>
      </c>
      <c r="K141" s="137">
        <v>30</v>
      </c>
      <c r="L141" s="201">
        <v>0</v>
      </c>
      <c r="M141" s="202"/>
      <c r="N141" s="203">
        <f>ROUND($L$141*$K$141,2)</f>
        <v>0</v>
      </c>
      <c r="O141" s="202"/>
      <c r="P141" s="202"/>
      <c r="Q141" s="202"/>
      <c r="R141" s="24"/>
      <c r="T141" s="138"/>
      <c r="U141" s="30" t="s">
        <v>37</v>
      </c>
      <c r="V141" s="139">
        <v>0.36</v>
      </c>
      <c r="W141" s="139">
        <f>$V$141*$K$141</f>
        <v>10.799999999999999</v>
      </c>
      <c r="X141" s="139">
        <v>4.8900000000000002E-3</v>
      </c>
      <c r="Y141" s="139">
        <f>$X$141*$K$141</f>
        <v>0.1467</v>
      </c>
      <c r="Z141" s="139">
        <v>0</v>
      </c>
      <c r="AA141" s="140">
        <f>$Z$141*$K$141</f>
        <v>0</v>
      </c>
      <c r="AR141" s="6" t="s">
        <v>161</v>
      </c>
      <c r="AT141" s="6" t="s">
        <v>157</v>
      </c>
      <c r="AU141" s="6" t="s">
        <v>102</v>
      </c>
      <c r="AY141" s="6" t="s">
        <v>156</v>
      </c>
      <c r="BE141" s="88">
        <f>IF($U$141="základní",$N$141,0)</f>
        <v>0</v>
      </c>
      <c r="BF141" s="88">
        <f>IF($U$141="snížená",$N$141,0)</f>
        <v>0</v>
      </c>
      <c r="BG141" s="88">
        <f>IF($U$141="zákl. přenesená",$N$141,0)</f>
        <v>0</v>
      </c>
      <c r="BH141" s="88">
        <f>IF($U$141="sníž. přenesená",$N$141,0)</f>
        <v>0</v>
      </c>
      <c r="BI141" s="88">
        <f>IF($U$141="nulová",$N$141,0)</f>
        <v>0</v>
      </c>
      <c r="BJ141" s="6" t="s">
        <v>17</v>
      </c>
      <c r="BK141" s="88">
        <f>ROUND($L$141*$K$141,2)</f>
        <v>0</v>
      </c>
      <c r="BL141" s="6" t="s">
        <v>161</v>
      </c>
    </row>
    <row r="142" spans="2:64" s="6" customFormat="1" ht="27" customHeight="1" x14ac:dyDescent="0.3">
      <c r="B142" s="22"/>
      <c r="C142" s="134" t="s">
        <v>167</v>
      </c>
      <c r="D142" s="134" t="s">
        <v>157</v>
      </c>
      <c r="E142" s="135" t="s">
        <v>168</v>
      </c>
      <c r="F142" s="205" t="s">
        <v>169</v>
      </c>
      <c r="G142" s="202"/>
      <c r="H142" s="202"/>
      <c r="I142" s="202"/>
      <c r="J142" s="136" t="s">
        <v>160</v>
      </c>
      <c r="K142" s="137">
        <v>40.68</v>
      </c>
      <c r="L142" s="201">
        <v>0</v>
      </c>
      <c r="M142" s="202"/>
      <c r="N142" s="203">
        <f>ROUND($L$142*$K$142,2)</f>
        <v>0</v>
      </c>
      <c r="O142" s="202"/>
      <c r="P142" s="202"/>
      <c r="Q142" s="202"/>
      <c r="R142" s="24"/>
      <c r="T142" s="138"/>
      <c r="U142" s="30" t="s">
        <v>37</v>
      </c>
      <c r="V142" s="139">
        <v>0.38</v>
      </c>
      <c r="W142" s="139">
        <f>$V$142*$K$142</f>
        <v>15.458399999999999</v>
      </c>
      <c r="X142" s="139">
        <v>1.47E-2</v>
      </c>
      <c r="Y142" s="139">
        <f>$X$142*$K$142</f>
        <v>0.59799599999999997</v>
      </c>
      <c r="Z142" s="139">
        <v>0</v>
      </c>
      <c r="AA142" s="140">
        <f>$Z$142*$K$142</f>
        <v>0</v>
      </c>
      <c r="AR142" s="6" t="s">
        <v>161</v>
      </c>
      <c r="AT142" s="6" t="s">
        <v>157</v>
      </c>
      <c r="AU142" s="6" t="s">
        <v>102</v>
      </c>
      <c r="AY142" s="6" t="s">
        <v>156</v>
      </c>
      <c r="BE142" s="88">
        <f>IF($U$142="základní",$N$142,0)</f>
        <v>0</v>
      </c>
      <c r="BF142" s="88">
        <f>IF($U$142="snížená",$N$142,0)</f>
        <v>0</v>
      </c>
      <c r="BG142" s="88">
        <f>IF($U$142="zákl. přenesená",$N$142,0)</f>
        <v>0</v>
      </c>
      <c r="BH142" s="88">
        <f>IF($U$142="sníž. přenesená",$N$142,0)</f>
        <v>0</v>
      </c>
      <c r="BI142" s="88">
        <f>IF($U$142="nulová",$N$142,0)</f>
        <v>0</v>
      </c>
      <c r="BJ142" s="6" t="s">
        <v>17</v>
      </c>
      <c r="BK142" s="88">
        <f>ROUND($L$142*$K$142,2)</f>
        <v>0</v>
      </c>
      <c r="BL142" s="6" t="s">
        <v>161</v>
      </c>
    </row>
    <row r="143" spans="2:64" s="6" customFormat="1" ht="27" customHeight="1" x14ac:dyDescent="0.3">
      <c r="B143" s="22"/>
      <c r="C143" s="134" t="s">
        <v>170</v>
      </c>
      <c r="D143" s="134" t="s">
        <v>157</v>
      </c>
      <c r="E143" s="135" t="s">
        <v>171</v>
      </c>
      <c r="F143" s="205" t="s">
        <v>172</v>
      </c>
      <c r="G143" s="202"/>
      <c r="H143" s="202"/>
      <c r="I143" s="202"/>
      <c r="J143" s="136" t="s">
        <v>160</v>
      </c>
      <c r="K143" s="137">
        <v>176.8</v>
      </c>
      <c r="L143" s="201">
        <v>0</v>
      </c>
      <c r="M143" s="202"/>
      <c r="N143" s="203">
        <f>ROUND($L$143*$K$143,2)</f>
        <v>0</v>
      </c>
      <c r="O143" s="202"/>
      <c r="P143" s="202"/>
      <c r="Q143" s="202"/>
      <c r="R143" s="24"/>
      <c r="T143" s="138"/>
      <c r="U143" s="30" t="s">
        <v>37</v>
      </c>
      <c r="V143" s="139">
        <v>0.48</v>
      </c>
      <c r="W143" s="139">
        <f>$V$143*$K$143</f>
        <v>84.864000000000004</v>
      </c>
      <c r="X143" s="139">
        <v>7.102E-2</v>
      </c>
      <c r="Y143" s="139">
        <f>$X$143*$K$143</f>
        <v>12.556336</v>
      </c>
      <c r="Z143" s="139">
        <v>0</v>
      </c>
      <c r="AA143" s="140">
        <f>$Z$143*$K$143</f>
        <v>0</v>
      </c>
      <c r="AR143" s="6" t="s">
        <v>161</v>
      </c>
      <c r="AT143" s="6" t="s">
        <v>157</v>
      </c>
      <c r="AU143" s="6" t="s">
        <v>102</v>
      </c>
      <c r="AY143" s="6" t="s">
        <v>156</v>
      </c>
      <c r="BE143" s="88">
        <f>IF($U$143="základní",$N$143,0)</f>
        <v>0</v>
      </c>
      <c r="BF143" s="88">
        <f>IF($U$143="snížená",$N$143,0)</f>
        <v>0</v>
      </c>
      <c r="BG143" s="88">
        <f>IF($U$143="zákl. přenesená",$N$143,0)</f>
        <v>0</v>
      </c>
      <c r="BH143" s="88">
        <f>IF($U$143="sníž. přenesená",$N$143,0)</f>
        <v>0</v>
      </c>
      <c r="BI143" s="88">
        <f>IF($U$143="nulová",$N$143,0)</f>
        <v>0</v>
      </c>
      <c r="BJ143" s="6" t="s">
        <v>17</v>
      </c>
      <c r="BK143" s="88">
        <f>ROUND($L$143*$K$143,2)</f>
        <v>0</v>
      </c>
      <c r="BL143" s="6" t="s">
        <v>161</v>
      </c>
    </row>
    <row r="144" spans="2:64" s="6" customFormat="1" ht="27" customHeight="1" x14ac:dyDescent="0.3">
      <c r="B144" s="22"/>
      <c r="C144" s="134" t="s">
        <v>173</v>
      </c>
      <c r="D144" s="134" t="s">
        <v>157</v>
      </c>
      <c r="E144" s="135" t="s">
        <v>174</v>
      </c>
      <c r="F144" s="205" t="s">
        <v>175</v>
      </c>
      <c r="G144" s="202"/>
      <c r="H144" s="202"/>
      <c r="I144" s="202"/>
      <c r="J144" s="136" t="s">
        <v>176</v>
      </c>
      <c r="K144" s="137">
        <v>39</v>
      </c>
      <c r="L144" s="201">
        <v>0</v>
      </c>
      <c r="M144" s="202"/>
      <c r="N144" s="203">
        <f>ROUND($L$144*$K$144,2)</f>
        <v>0</v>
      </c>
      <c r="O144" s="202"/>
      <c r="P144" s="202"/>
      <c r="Q144" s="202"/>
      <c r="R144" s="24"/>
      <c r="T144" s="138"/>
      <c r="U144" s="30" t="s">
        <v>37</v>
      </c>
      <c r="V144" s="139">
        <v>0.754</v>
      </c>
      <c r="W144" s="139">
        <f>$V$144*$K$144</f>
        <v>29.405999999999999</v>
      </c>
      <c r="X144" s="139">
        <v>1.6979999999999999E-2</v>
      </c>
      <c r="Y144" s="139">
        <f>$X$144*$K$144</f>
        <v>0.66221999999999992</v>
      </c>
      <c r="Z144" s="139">
        <v>0</v>
      </c>
      <c r="AA144" s="140">
        <f>$Z$144*$K$144</f>
        <v>0</v>
      </c>
      <c r="AR144" s="6" t="s">
        <v>161</v>
      </c>
      <c r="AT144" s="6" t="s">
        <v>157</v>
      </c>
      <c r="AU144" s="6" t="s">
        <v>102</v>
      </c>
      <c r="AY144" s="6" t="s">
        <v>156</v>
      </c>
      <c r="BE144" s="88">
        <f>IF($U$144="základní",$N$144,0)</f>
        <v>0</v>
      </c>
      <c r="BF144" s="88">
        <f>IF($U$144="snížená",$N$144,0)</f>
        <v>0</v>
      </c>
      <c r="BG144" s="88">
        <f>IF($U$144="zákl. přenesená",$N$144,0)</f>
        <v>0</v>
      </c>
      <c r="BH144" s="88">
        <f>IF($U$144="sníž. přenesená",$N$144,0)</f>
        <v>0</v>
      </c>
      <c r="BI144" s="88">
        <f>IF($U$144="nulová",$N$144,0)</f>
        <v>0</v>
      </c>
      <c r="BJ144" s="6" t="s">
        <v>17</v>
      </c>
      <c r="BK144" s="88">
        <f>ROUND($L$144*$K$144,2)</f>
        <v>0</v>
      </c>
      <c r="BL144" s="6" t="s">
        <v>161</v>
      </c>
    </row>
    <row r="145" spans="2:64" s="123" customFormat="1" ht="30.75" customHeight="1" x14ac:dyDescent="0.3">
      <c r="B145" s="124"/>
      <c r="C145" s="125"/>
      <c r="D145" s="133" t="s">
        <v>115</v>
      </c>
      <c r="E145" s="125"/>
      <c r="F145" s="125"/>
      <c r="G145" s="125"/>
      <c r="H145" s="125"/>
      <c r="I145" s="125"/>
      <c r="J145" s="125"/>
      <c r="K145" s="125"/>
      <c r="L145" s="125"/>
      <c r="M145" s="125"/>
      <c r="N145" s="195">
        <f>$BK$145</f>
        <v>0</v>
      </c>
      <c r="O145" s="196"/>
      <c r="P145" s="196"/>
      <c r="Q145" s="196"/>
      <c r="R145" s="127"/>
      <c r="T145" s="128"/>
      <c r="U145" s="125"/>
      <c r="V145" s="125"/>
      <c r="W145" s="129">
        <f>$W$146+SUM($W$147:$W$154)</f>
        <v>514.52895999999998</v>
      </c>
      <c r="X145" s="125"/>
      <c r="Y145" s="129">
        <f>$Y$146+SUM($Y$147:$Y$154)</f>
        <v>1.6E-2</v>
      </c>
      <c r="Z145" s="125"/>
      <c r="AA145" s="130">
        <f>$AA$146+SUM($AA$147:$AA$154)</f>
        <v>79.282080000000008</v>
      </c>
      <c r="AR145" s="131" t="s">
        <v>17</v>
      </c>
      <c r="AT145" s="131" t="s">
        <v>71</v>
      </c>
      <c r="AU145" s="131" t="s">
        <v>17</v>
      </c>
      <c r="AY145" s="131" t="s">
        <v>156</v>
      </c>
      <c r="BK145" s="132">
        <f>$BK$146+SUM($BK$147:$BK$154)</f>
        <v>0</v>
      </c>
    </row>
    <row r="146" spans="2:64" s="6" customFormat="1" ht="27" customHeight="1" x14ac:dyDescent="0.3">
      <c r="B146" s="22"/>
      <c r="C146" s="134" t="s">
        <v>177</v>
      </c>
      <c r="D146" s="134" t="s">
        <v>157</v>
      </c>
      <c r="E146" s="135" t="s">
        <v>178</v>
      </c>
      <c r="F146" s="205" t="s">
        <v>179</v>
      </c>
      <c r="G146" s="202"/>
      <c r="H146" s="202"/>
      <c r="I146" s="202"/>
      <c r="J146" s="136" t="s">
        <v>160</v>
      </c>
      <c r="K146" s="137">
        <v>400</v>
      </c>
      <c r="L146" s="201">
        <v>0</v>
      </c>
      <c r="M146" s="202"/>
      <c r="N146" s="203">
        <f>ROUND($L$146*$K$146,2)</f>
        <v>0</v>
      </c>
      <c r="O146" s="202"/>
      <c r="P146" s="202"/>
      <c r="Q146" s="202"/>
      <c r="R146" s="24"/>
      <c r="T146" s="138"/>
      <c r="U146" s="30" t="s">
        <v>37</v>
      </c>
      <c r="V146" s="139">
        <v>0.308</v>
      </c>
      <c r="W146" s="139">
        <f>$V$146*$K$146</f>
        <v>123.2</v>
      </c>
      <c r="X146" s="139">
        <v>4.0000000000000003E-5</v>
      </c>
      <c r="Y146" s="139">
        <f>$X$146*$K$146</f>
        <v>1.6E-2</v>
      </c>
      <c r="Z146" s="139">
        <v>0</v>
      </c>
      <c r="AA146" s="140">
        <f>$Z$146*$K$146</f>
        <v>0</v>
      </c>
      <c r="AR146" s="6" t="s">
        <v>161</v>
      </c>
      <c r="AT146" s="6" t="s">
        <v>157</v>
      </c>
      <c r="AU146" s="6" t="s">
        <v>102</v>
      </c>
      <c r="AY146" s="6" t="s">
        <v>156</v>
      </c>
      <c r="BE146" s="88">
        <f>IF($U$146="základní",$N$146,0)</f>
        <v>0</v>
      </c>
      <c r="BF146" s="88">
        <f>IF($U$146="snížená",$N$146,0)</f>
        <v>0</v>
      </c>
      <c r="BG146" s="88">
        <f>IF($U$146="zákl. přenesená",$N$146,0)</f>
        <v>0</v>
      </c>
      <c r="BH146" s="88">
        <f>IF($U$146="sníž. přenesená",$N$146,0)</f>
        <v>0</v>
      </c>
      <c r="BI146" s="88">
        <f>IF($U$146="nulová",$N$146,0)</f>
        <v>0</v>
      </c>
      <c r="BJ146" s="6" t="s">
        <v>17</v>
      </c>
      <c r="BK146" s="88">
        <f>ROUND($L$146*$K$146,2)</f>
        <v>0</v>
      </c>
      <c r="BL146" s="6" t="s">
        <v>161</v>
      </c>
    </row>
    <row r="147" spans="2:64" s="6" customFormat="1" ht="27" customHeight="1" x14ac:dyDescent="0.3">
      <c r="B147" s="22"/>
      <c r="C147" s="134" t="s">
        <v>180</v>
      </c>
      <c r="D147" s="134" t="s">
        <v>157</v>
      </c>
      <c r="E147" s="135" t="s">
        <v>181</v>
      </c>
      <c r="F147" s="205" t="s">
        <v>182</v>
      </c>
      <c r="G147" s="202"/>
      <c r="H147" s="202"/>
      <c r="I147" s="202"/>
      <c r="J147" s="136" t="s">
        <v>183</v>
      </c>
      <c r="K147" s="137">
        <v>11.88</v>
      </c>
      <c r="L147" s="201">
        <v>0</v>
      </c>
      <c r="M147" s="202"/>
      <c r="N147" s="203">
        <f>ROUND($L$147*$K$147,2)</f>
        <v>0</v>
      </c>
      <c r="O147" s="202"/>
      <c r="P147" s="202"/>
      <c r="Q147" s="202"/>
      <c r="R147" s="24"/>
      <c r="T147" s="138"/>
      <c r="U147" s="30" t="s">
        <v>37</v>
      </c>
      <c r="V147" s="139">
        <v>1.52</v>
      </c>
      <c r="W147" s="139">
        <f>$V$147*$K$147</f>
        <v>18.057600000000001</v>
      </c>
      <c r="X147" s="139">
        <v>0</v>
      </c>
      <c r="Y147" s="139">
        <f>$X$147*$K$147</f>
        <v>0</v>
      </c>
      <c r="Z147" s="139">
        <v>1.8</v>
      </c>
      <c r="AA147" s="140">
        <f>$Z$147*$K$147</f>
        <v>21.384</v>
      </c>
      <c r="AR147" s="6" t="s">
        <v>161</v>
      </c>
      <c r="AT147" s="6" t="s">
        <v>157</v>
      </c>
      <c r="AU147" s="6" t="s">
        <v>102</v>
      </c>
      <c r="AY147" s="6" t="s">
        <v>156</v>
      </c>
      <c r="BE147" s="88">
        <f>IF($U$147="základní",$N$147,0)</f>
        <v>0</v>
      </c>
      <c r="BF147" s="88">
        <f>IF($U$147="snížená",$N$147,0)</f>
        <v>0</v>
      </c>
      <c r="BG147" s="88">
        <f>IF($U$147="zákl. přenesená",$N$147,0)</f>
        <v>0</v>
      </c>
      <c r="BH147" s="88">
        <f>IF($U$147="sníž. přenesená",$N$147,0)</f>
        <v>0</v>
      </c>
      <c r="BI147" s="88">
        <f>IF($U$147="nulová",$N$147,0)</f>
        <v>0</v>
      </c>
      <c r="BJ147" s="6" t="s">
        <v>17</v>
      </c>
      <c r="BK147" s="88">
        <f>ROUND($L$147*$K$147,2)</f>
        <v>0</v>
      </c>
      <c r="BL147" s="6" t="s">
        <v>161</v>
      </c>
    </row>
    <row r="148" spans="2:64" s="6" customFormat="1" ht="39" customHeight="1" x14ac:dyDescent="0.3">
      <c r="B148" s="22"/>
      <c r="C148" s="134" t="s">
        <v>184</v>
      </c>
      <c r="D148" s="134" t="s">
        <v>157</v>
      </c>
      <c r="E148" s="135" t="s">
        <v>185</v>
      </c>
      <c r="F148" s="205" t="s">
        <v>186</v>
      </c>
      <c r="G148" s="202"/>
      <c r="H148" s="202"/>
      <c r="I148" s="202"/>
      <c r="J148" s="136" t="s">
        <v>183</v>
      </c>
      <c r="K148" s="137">
        <v>8.84</v>
      </c>
      <c r="L148" s="201">
        <v>0</v>
      </c>
      <c r="M148" s="202"/>
      <c r="N148" s="203">
        <f>ROUND($L$148*$K$148,2)</f>
        <v>0</v>
      </c>
      <c r="O148" s="202"/>
      <c r="P148" s="202"/>
      <c r="Q148" s="202"/>
      <c r="R148" s="24"/>
      <c r="T148" s="138"/>
      <c r="U148" s="30" t="s">
        <v>37</v>
      </c>
      <c r="V148" s="139">
        <v>10.88</v>
      </c>
      <c r="W148" s="139">
        <f>$V$148*$K$148</f>
        <v>96.179200000000009</v>
      </c>
      <c r="X148" s="139">
        <v>0</v>
      </c>
      <c r="Y148" s="139">
        <f>$X$148*$K$148</f>
        <v>0</v>
      </c>
      <c r="Z148" s="139">
        <v>2.2000000000000002</v>
      </c>
      <c r="AA148" s="140">
        <f>$Z$148*$K$148</f>
        <v>19.448</v>
      </c>
      <c r="AR148" s="6" t="s">
        <v>161</v>
      </c>
      <c r="AT148" s="6" t="s">
        <v>157</v>
      </c>
      <c r="AU148" s="6" t="s">
        <v>102</v>
      </c>
      <c r="AY148" s="6" t="s">
        <v>156</v>
      </c>
      <c r="BE148" s="88">
        <f>IF($U$148="základní",$N$148,0)</f>
        <v>0</v>
      </c>
      <c r="BF148" s="88">
        <f>IF($U$148="snížená",$N$148,0)</f>
        <v>0</v>
      </c>
      <c r="BG148" s="88">
        <f>IF($U$148="zákl. přenesená",$N$148,0)</f>
        <v>0</v>
      </c>
      <c r="BH148" s="88">
        <f>IF($U$148="sníž. přenesená",$N$148,0)</f>
        <v>0</v>
      </c>
      <c r="BI148" s="88">
        <f>IF($U$148="nulová",$N$148,0)</f>
        <v>0</v>
      </c>
      <c r="BJ148" s="6" t="s">
        <v>17</v>
      </c>
      <c r="BK148" s="88">
        <f>ROUND($L$148*$K$148,2)</f>
        <v>0</v>
      </c>
      <c r="BL148" s="6" t="s">
        <v>161</v>
      </c>
    </row>
    <row r="149" spans="2:64" s="6" customFormat="1" ht="27" customHeight="1" x14ac:dyDescent="0.3">
      <c r="B149" s="22"/>
      <c r="C149" s="134" t="s">
        <v>22</v>
      </c>
      <c r="D149" s="134" t="s">
        <v>157</v>
      </c>
      <c r="E149" s="135" t="s">
        <v>187</v>
      </c>
      <c r="F149" s="205" t="s">
        <v>188</v>
      </c>
      <c r="G149" s="202"/>
      <c r="H149" s="202"/>
      <c r="I149" s="202"/>
      <c r="J149" s="136" t="s">
        <v>160</v>
      </c>
      <c r="K149" s="137">
        <v>176.8</v>
      </c>
      <c r="L149" s="201">
        <v>0</v>
      </c>
      <c r="M149" s="202"/>
      <c r="N149" s="203">
        <f>ROUND($L$149*$K$149,2)</f>
        <v>0</v>
      </c>
      <c r="O149" s="202"/>
      <c r="P149" s="202"/>
      <c r="Q149" s="202"/>
      <c r="R149" s="24"/>
      <c r="T149" s="138"/>
      <c r="U149" s="30" t="s">
        <v>37</v>
      </c>
      <c r="V149" s="139">
        <v>0.16200000000000001</v>
      </c>
      <c r="W149" s="139">
        <f>$V$149*$K$149</f>
        <v>28.641600000000004</v>
      </c>
      <c r="X149" s="139">
        <v>0</v>
      </c>
      <c r="Y149" s="139">
        <f>$X$149*$K$149</f>
        <v>0</v>
      </c>
      <c r="Z149" s="139">
        <v>3.5000000000000003E-2</v>
      </c>
      <c r="AA149" s="140">
        <f>$Z$149*$K$149</f>
        <v>6.1880000000000006</v>
      </c>
      <c r="AR149" s="6" t="s">
        <v>161</v>
      </c>
      <c r="AT149" s="6" t="s">
        <v>157</v>
      </c>
      <c r="AU149" s="6" t="s">
        <v>102</v>
      </c>
      <c r="AY149" s="6" t="s">
        <v>156</v>
      </c>
      <c r="BE149" s="88">
        <f>IF($U$149="základní",$N$149,0)</f>
        <v>0</v>
      </c>
      <c r="BF149" s="88">
        <f>IF($U$149="snížená",$N$149,0)</f>
        <v>0</v>
      </c>
      <c r="BG149" s="88">
        <f>IF($U$149="zákl. přenesená",$N$149,0)</f>
        <v>0</v>
      </c>
      <c r="BH149" s="88">
        <f>IF($U$149="sníž. přenesená",$N$149,0)</f>
        <v>0</v>
      </c>
      <c r="BI149" s="88">
        <f>IF($U$149="nulová",$N$149,0)</f>
        <v>0</v>
      </c>
      <c r="BJ149" s="6" t="s">
        <v>17</v>
      </c>
      <c r="BK149" s="88">
        <f>ROUND($L$149*$K$149,2)</f>
        <v>0</v>
      </c>
      <c r="BL149" s="6" t="s">
        <v>161</v>
      </c>
    </row>
    <row r="150" spans="2:64" s="6" customFormat="1" ht="27" customHeight="1" x14ac:dyDescent="0.3">
      <c r="B150" s="22"/>
      <c r="C150" s="134" t="s">
        <v>189</v>
      </c>
      <c r="D150" s="134" t="s">
        <v>157</v>
      </c>
      <c r="E150" s="135" t="s">
        <v>190</v>
      </c>
      <c r="F150" s="205" t="s">
        <v>191</v>
      </c>
      <c r="G150" s="202"/>
      <c r="H150" s="202"/>
      <c r="I150" s="202"/>
      <c r="J150" s="136" t="s">
        <v>160</v>
      </c>
      <c r="K150" s="137">
        <v>63.04</v>
      </c>
      <c r="L150" s="201">
        <v>0</v>
      </c>
      <c r="M150" s="202"/>
      <c r="N150" s="203">
        <f>ROUND($L$150*$K$150,2)</f>
        <v>0</v>
      </c>
      <c r="O150" s="202"/>
      <c r="P150" s="202"/>
      <c r="Q150" s="202"/>
      <c r="R150" s="24"/>
      <c r="T150" s="138"/>
      <c r="U150" s="30" t="s">
        <v>37</v>
      </c>
      <c r="V150" s="139">
        <v>0.93899999999999995</v>
      </c>
      <c r="W150" s="139">
        <f>$V$150*$K$150</f>
        <v>59.194559999999996</v>
      </c>
      <c r="X150" s="139">
        <v>0</v>
      </c>
      <c r="Y150" s="139">
        <f>$X$150*$K$150</f>
        <v>0</v>
      </c>
      <c r="Z150" s="139">
        <v>7.5999999999999998E-2</v>
      </c>
      <c r="AA150" s="140">
        <f>$Z$150*$K$150</f>
        <v>4.7910399999999997</v>
      </c>
      <c r="AR150" s="6" t="s">
        <v>161</v>
      </c>
      <c r="AT150" s="6" t="s">
        <v>157</v>
      </c>
      <c r="AU150" s="6" t="s">
        <v>102</v>
      </c>
      <c r="AY150" s="6" t="s">
        <v>156</v>
      </c>
      <c r="BE150" s="88">
        <f>IF($U$150="základní",$N$150,0)</f>
        <v>0</v>
      </c>
      <c r="BF150" s="88">
        <f>IF($U$150="snížená",$N$150,0)</f>
        <v>0</v>
      </c>
      <c r="BG150" s="88">
        <f>IF($U$150="zákl. přenesená",$N$150,0)</f>
        <v>0</v>
      </c>
      <c r="BH150" s="88">
        <f>IF($U$150="sníž. přenesená",$N$150,0)</f>
        <v>0</v>
      </c>
      <c r="BI150" s="88">
        <f>IF($U$150="nulová",$N$150,0)</f>
        <v>0</v>
      </c>
      <c r="BJ150" s="6" t="s">
        <v>17</v>
      </c>
      <c r="BK150" s="88">
        <f>ROUND($L$150*$K$150,2)</f>
        <v>0</v>
      </c>
      <c r="BL150" s="6" t="s">
        <v>161</v>
      </c>
    </row>
    <row r="151" spans="2:64" s="6" customFormat="1" ht="27" customHeight="1" x14ac:dyDescent="0.3">
      <c r="B151" s="22"/>
      <c r="C151" s="134" t="s">
        <v>192</v>
      </c>
      <c r="D151" s="134" t="s">
        <v>157</v>
      </c>
      <c r="E151" s="135" t="s">
        <v>193</v>
      </c>
      <c r="F151" s="205" t="s">
        <v>194</v>
      </c>
      <c r="G151" s="202"/>
      <c r="H151" s="202"/>
      <c r="I151" s="202"/>
      <c r="J151" s="136" t="s">
        <v>195</v>
      </c>
      <c r="K151" s="137">
        <v>205</v>
      </c>
      <c r="L151" s="201">
        <v>0</v>
      </c>
      <c r="M151" s="202"/>
      <c r="N151" s="203">
        <f>ROUND($L$151*$K$151,2)</f>
        <v>0</v>
      </c>
      <c r="O151" s="202"/>
      <c r="P151" s="202"/>
      <c r="Q151" s="202"/>
      <c r="R151" s="24"/>
      <c r="T151" s="138"/>
      <c r="U151" s="30" t="s">
        <v>37</v>
      </c>
      <c r="V151" s="139">
        <v>0.13300000000000001</v>
      </c>
      <c r="W151" s="139">
        <f>$V$151*$K$151</f>
        <v>27.265000000000001</v>
      </c>
      <c r="X151" s="139">
        <v>0</v>
      </c>
      <c r="Y151" s="139">
        <f>$X$151*$K$151</f>
        <v>0</v>
      </c>
      <c r="Z151" s="139">
        <v>1.2999999999999999E-2</v>
      </c>
      <c r="AA151" s="140">
        <f>$Z$151*$K$151</f>
        <v>2.665</v>
      </c>
      <c r="AR151" s="6" t="s">
        <v>161</v>
      </c>
      <c r="AT151" s="6" t="s">
        <v>157</v>
      </c>
      <c r="AU151" s="6" t="s">
        <v>102</v>
      </c>
      <c r="AY151" s="6" t="s">
        <v>156</v>
      </c>
      <c r="BE151" s="88">
        <f>IF($U$151="základní",$N$151,0)</f>
        <v>0</v>
      </c>
      <c r="BF151" s="88">
        <f>IF($U$151="snížená",$N$151,0)</f>
        <v>0</v>
      </c>
      <c r="BG151" s="88">
        <f>IF($U$151="zákl. přenesená",$N$151,0)</f>
        <v>0</v>
      </c>
      <c r="BH151" s="88">
        <f>IF($U$151="sníž. přenesená",$N$151,0)</f>
        <v>0</v>
      </c>
      <c r="BI151" s="88">
        <f>IF($U$151="nulová",$N$151,0)</f>
        <v>0</v>
      </c>
      <c r="BJ151" s="6" t="s">
        <v>17</v>
      </c>
      <c r="BK151" s="88">
        <f>ROUND($L$151*$K$151,2)</f>
        <v>0</v>
      </c>
      <c r="BL151" s="6" t="s">
        <v>161</v>
      </c>
    </row>
    <row r="152" spans="2:64" s="6" customFormat="1" ht="15.75" customHeight="1" x14ac:dyDescent="0.3">
      <c r="B152" s="22"/>
      <c r="C152" s="134" t="s">
        <v>196</v>
      </c>
      <c r="D152" s="134" t="s">
        <v>157</v>
      </c>
      <c r="E152" s="135" t="s">
        <v>197</v>
      </c>
      <c r="F152" s="205" t="s">
        <v>198</v>
      </c>
      <c r="G152" s="202"/>
      <c r="H152" s="202"/>
      <c r="I152" s="202"/>
      <c r="J152" s="136" t="s">
        <v>195</v>
      </c>
      <c r="K152" s="137">
        <v>163</v>
      </c>
      <c r="L152" s="201">
        <v>0</v>
      </c>
      <c r="M152" s="202"/>
      <c r="N152" s="203">
        <f>ROUND($L$152*$K$152,2)</f>
        <v>0</v>
      </c>
      <c r="O152" s="202"/>
      <c r="P152" s="202"/>
      <c r="Q152" s="202"/>
      <c r="R152" s="24"/>
      <c r="T152" s="138"/>
      <c r="U152" s="30" t="s">
        <v>37</v>
      </c>
      <c r="V152" s="139">
        <v>0.49299999999999999</v>
      </c>
      <c r="W152" s="139">
        <f>$V$152*$K$152</f>
        <v>80.358999999999995</v>
      </c>
      <c r="X152" s="139">
        <v>0</v>
      </c>
      <c r="Y152" s="139">
        <f>$X$152*$K$152</f>
        <v>0</v>
      </c>
      <c r="Z152" s="139">
        <v>6.3E-2</v>
      </c>
      <c r="AA152" s="140">
        <f>$Z$152*$K$152</f>
        <v>10.269</v>
      </c>
      <c r="AR152" s="6" t="s">
        <v>161</v>
      </c>
      <c r="AT152" s="6" t="s">
        <v>157</v>
      </c>
      <c r="AU152" s="6" t="s">
        <v>102</v>
      </c>
      <c r="AY152" s="6" t="s">
        <v>156</v>
      </c>
      <c r="BE152" s="88">
        <f>IF($U$152="základní",$N$152,0)</f>
        <v>0</v>
      </c>
      <c r="BF152" s="88">
        <f>IF($U$152="snížená",$N$152,0)</f>
        <v>0</v>
      </c>
      <c r="BG152" s="88">
        <f>IF($U$152="zákl. přenesená",$N$152,0)</f>
        <v>0</v>
      </c>
      <c r="BH152" s="88">
        <f>IF($U$152="sníž. přenesená",$N$152,0)</f>
        <v>0</v>
      </c>
      <c r="BI152" s="88">
        <f>IF($U$152="nulová",$N$152,0)</f>
        <v>0</v>
      </c>
      <c r="BJ152" s="6" t="s">
        <v>17</v>
      </c>
      <c r="BK152" s="88">
        <f>ROUND($L$152*$K$152,2)</f>
        <v>0</v>
      </c>
      <c r="BL152" s="6" t="s">
        <v>161</v>
      </c>
    </row>
    <row r="153" spans="2:64" s="6" customFormat="1" ht="27" customHeight="1" x14ac:dyDescent="0.3">
      <c r="B153" s="22"/>
      <c r="C153" s="134" t="s">
        <v>199</v>
      </c>
      <c r="D153" s="134" t="s">
        <v>157</v>
      </c>
      <c r="E153" s="135" t="s">
        <v>200</v>
      </c>
      <c r="F153" s="205" t="s">
        <v>201</v>
      </c>
      <c r="G153" s="202"/>
      <c r="H153" s="202"/>
      <c r="I153" s="202"/>
      <c r="J153" s="136" t="s">
        <v>160</v>
      </c>
      <c r="K153" s="137">
        <v>213.78</v>
      </c>
      <c r="L153" s="201">
        <v>0</v>
      </c>
      <c r="M153" s="202"/>
      <c r="N153" s="203">
        <f>ROUND($L$153*$K$153,2)</f>
        <v>0</v>
      </c>
      <c r="O153" s="202"/>
      <c r="P153" s="202"/>
      <c r="Q153" s="202"/>
      <c r="R153" s="24"/>
      <c r="T153" s="138"/>
      <c r="U153" s="30" t="s">
        <v>37</v>
      </c>
      <c r="V153" s="139">
        <v>0.3</v>
      </c>
      <c r="W153" s="139">
        <f>$V$153*$K$153</f>
        <v>64.134</v>
      </c>
      <c r="X153" s="139">
        <v>0</v>
      </c>
      <c r="Y153" s="139">
        <f>$X$153*$K$153</f>
        <v>0</v>
      </c>
      <c r="Z153" s="139">
        <v>6.8000000000000005E-2</v>
      </c>
      <c r="AA153" s="140">
        <f>$Z$153*$K$153</f>
        <v>14.537040000000001</v>
      </c>
      <c r="AR153" s="6" t="s">
        <v>161</v>
      </c>
      <c r="AT153" s="6" t="s">
        <v>157</v>
      </c>
      <c r="AU153" s="6" t="s">
        <v>102</v>
      </c>
      <c r="AY153" s="6" t="s">
        <v>156</v>
      </c>
      <c r="BE153" s="88">
        <f>IF($U$153="základní",$N$153,0)</f>
        <v>0</v>
      </c>
      <c r="BF153" s="88">
        <f>IF($U$153="snížená",$N$153,0)</f>
        <v>0</v>
      </c>
      <c r="BG153" s="88">
        <f>IF($U$153="zákl. přenesená",$N$153,0)</f>
        <v>0</v>
      </c>
      <c r="BH153" s="88">
        <f>IF($U$153="sníž. přenesená",$N$153,0)</f>
        <v>0</v>
      </c>
      <c r="BI153" s="88">
        <f>IF($U$153="nulová",$N$153,0)</f>
        <v>0</v>
      </c>
      <c r="BJ153" s="6" t="s">
        <v>17</v>
      </c>
      <c r="BK153" s="88">
        <f>ROUND($L$153*$K$153,2)</f>
        <v>0</v>
      </c>
      <c r="BL153" s="6" t="s">
        <v>161</v>
      </c>
    </row>
    <row r="154" spans="2:64" s="123" customFormat="1" ht="23.25" customHeight="1" x14ac:dyDescent="0.3">
      <c r="B154" s="124"/>
      <c r="C154" s="125"/>
      <c r="D154" s="133" t="s">
        <v>116</v>
      </c>
      <c r="E154" s="125"/>
      <c r="F154" s="125"/>
      <c r="G154" s="125"/>
      <c r="H154" s="125"/>
      <c r="I154" s="125"/>
      <c r="J154" s="125"/>
      <c r="K154" s="125"/>
      <c r="L154" s="125"/>
      <c r="M154" s="125"/>
      <c r="N154" s="195">
        <f>$BK$154</f>
        <v>0</v>
      </c>
      <c r="O154" s="196"/>
      <c r="P154" s="196"/>
      <c r="Q154" s="196"/>
      <c r="R154" s="127"/>
      <c r="T154" s="128"/>
      <c r="U154" s="125"/>
      <c r="V154" s="125"/>
      <c r="W154" s="129">
        <f>SUM($W$155:$W$158)</f>
        <v>17.498000000000001</v>
      </c>
      <c r="X154" s="125"/>
      <c r="Y154" s="129">
        <f>SUM($Y$155:$Y$158)</f>
        <v>0</v>
      </c>
      <c r="Z154" s="125"/>
      <c r="AA154" s="130">
        <f>SUM($AA$155:$AA$158)</f>
        <v>0</v>
      </c>
      <c r="AR154" s="131" t="s">
        <v>17</v>
      </c>
      <c r="AT154" s="131" t="s">
        <v>71</v>
      </c>
      <c r="AU154" s="131" t="s">
        <v>102</v>
      </c>
      <c r="AY154" s="131" t="s">
        <v>156</v>
      </c>
      <c r="BK154" s="132">
        <f>SUM($BK$155:$BK$158)</f>
        <v>0</v>
      </c>
    </row>
    <row r="155" spans="2:64" s="6" customFormat="1" ht="27" customHeight="1" x14ac:dyDescent="0.3">
      <c r="B155" s="22"/>
      <c r="C155" s="134" t="s">
        <v>8</v>
      </c>
      <c r="D155" s="134" t="s">
        <v>157</v>
      </c>
      <c r="E155" s="135" t="s">
        <v>202</v>
      </c>
      <c r="F155" s="205" t="s">
        <v>203</v>
      </c>
      <c r="G155" s="202"/>
      <c r="H155" s="202"/>
      <c r="I155" s="202"/>
      <c r="J155" s="136" t="s">
        <v>204</v>
      </c>
      <c r="K155" s="137">
        <v>80.584000000000003</v>
      </c>
      <c r="L155" s="201">
        <v>0</v>
      </c>
      <c r="M155" s="202"/>
      <c r="N155" s="203">
        <f>ROUND($L$155*$K$155,2)</f>
        <v>0</v>
      </c>
      <c r="O155" s="202"/>
      <c r="P155" s="202"/>
      <c r="Q155" s="202"/>
      <c r="R155" s="24"/>
      <c r="T155" s="138"/>
      <c r="U155" s="30" t="s">
        <v>37</v>
      </c>
      <c r="V155" s="139">
        <v>0.125</v>
      </c>
      <c r="W155" s="139">
        <f>$V$155*$K$155</f>
        <v>10.073</v>
      </c>
      <c r="X155" s="139">
        <v>0</v>
      </c>
      <c r="Y155" s="139">
        <f>$X$155*$K$155</f>
        <v>0</v>
      </c>
      <c r="Z155" s="139">
        <v>0</v>
      </c>
      <c r="AA155" s="140">
        <f>$Z$155*$K$155</f>
        <v>0</v>
      </c>
      <c r="AR155" s="6" t="s">
        <v>161</v>
      </c>
      <c r="AT155" s="6" t="s">
        <v>157</v>
      </c>
      <c r="AU155" s="6" t="s">
        <v>164</v>
      </c>
      <c r="AY155" s="6" t="s">
        <v>156</v>
      </c>
      <c r="BE155" s="88">
        <f>IF($U$155="základní",$N$155,0)</f>
        <v>0</v>
      </c>
      <c r="BF155" s="88">
        <f>IF($U$155="snížená",$N$155,0)</f>
        <v>0</v>
      </c>
      <c r="BG155" s="88">
        <f>IF($U$155="zákl. přenesená",$N$155,0)</f>
        <v>0</v>
      </c>
      <c r="BH155" s="88">
        <f>IF($U$155="sníž. přenesená",$N$155,0)</f>
        <v>0</v>
      </c>
      <c r="BI155" s="88">
        <f>IF($U$155="nulová",$N$155,0)</f>
        <v>0</v>
      </c>
      <c r="BJ155" s="6" t="s">
        <v>17</v>
      </c>
      <c r="BK155" s="88">
        <f>ROUND($L$155*$K$155,2)</f>
        <v>0</v>
      </c>
      <c r="BL155" s="6" t="s">
        <v>161</v>
      </c>
    </row>
    <row r="156" spans="2:64" s="6" customFormat="1" ht="27" customHeight="1" x14ac:dyDescent="0.3">
      <c r="B156" s="22"/>
      <c r="C156" s="134" t="s">
        <v>161</v>
      </c>
      <c r="D156" s="134" t="s">
        <v>157</v>
      </c>
      <c r="E156" s="135" t="s">
        <v>205</v>
      </c>
      <c r="F156" s="205" t="s">
        <v>206</v>
      </c>
      <c r="G156" s="202"/>
      <c r="H156" s="202"/>
      <c r="I156" s="202"/>
      <c r="J156" s="136" t="s">
        <v>204</v>
      </c>
      <c r="K156" s="137">
        <v>1189.8</v>
      </c>
      <c r="L156" s="201">
        <v>0</v>
      </c>
      <c r="M156" s="202"/>
      <c r="N156" s="203">
        <f>ROUND($L$156*$K$156,2)</f>
        <v>0</v>
      </c>
      <c r="O156" s="202"/>
      <c r="P156" s="202"/>
      <c r="Q156" s="202"/>
      <c r="R156" s="24"/>
      <c r="T156" s="138"/>
      <c r="U156" s="30" t="s">
        <v>37</v>
      </c>
      <c r="V156" s="139">
        <v>6.0000000000000001E-3</v>
      </c>
      <c r="W156" s="139">
        <f>$V$156*$K$156</f>
        <v>7.1387999999999998</v>
      </c>
      <c r="X156" s="139">
        <v>0</v>
      </c>
      <c r="Y156" s="139">
        <f>$X$156*$K$156</f>
        <v>0</v>
      </c>
      <c r="Z156" s="139">
        <v>0</v>
      </c>
      <c r="AA156" s="140">
        <f>$Z$156*$K$156</f>
        <v>0</v>
      </c>
      <c r="AR156" s="6" t="s">
        <v>161</v>
      </c>
      <c r="AT156" s="6" t="s">
        <v>157</v>
      </c>
      <c r="AU156" s="6" t="s">
        <v>164</v>
      </c>
      <c r="AY156" s="6" t="s">
        <v>156</v>
      </c>
      <c r="BE156" s="88">
        <f>IF($U$156="základní",$N$156,0)</f>
        <v>0</v>
      </c>
      <c r="BF156" s="88">
        <f>IF($U$156="snížená",$N$156,0)</f>
        <v>0</v>
      </c>
      <c r="BG156" s="88">
        <f>IF($U$156="zákl. přenesená",$N$156,0)</f>
        <v>0</v>
      </c>
      <c r="BH156" s="88">
        <f>IF($U$156="sníž. přenesená",$N$156,0)</f>
        <v>0</v>
      </c>
      <c r="BI156" s="88">
        <f>IF($U$156="nulová",$N$156,0)</f>
        <v>0</v>
      </c>
      <c r="BJ156" s="6" t="s">
        <v>17</v>
      </c>
      <c r="BK156" s="88">
        <f>ROUND($L$156*$K$156,2)</f>
        <v>0</v>
      </c>
      <c r="BL156" s="6" t="s">
        <v>161</v>
      </c>
    </row>
    <row r="157" spans="2:64" s="6" customFormat="1" ht="27" customHeight="1" x14ac:dyDescent="0.3">
      <c r="B157" s="22"/>
      <c r="C157" s="134" t="s">
        <v>207</v>
      </c>
      <c r="D157" s="134" t="s">
        <v>157</v>
      </c>
      <c r="E157" s="135" t="s">
        <v>208</v>
      </c>
      <c r="F157" s="205" t="s">
        <v>209</v>
      </c>
      <c r="G157" s="202"/>
      <c r="H157" s="202"/>
      <c r="I157" s="202"/>
      <c r="J157" s="136" t="s">
        <v>204</v>
      </c>
      <c r="K157" s="137">
        <v>80.584000000000003</v>
      </c>
      <c r="L157" s="201">
        <v>0</v>
      </c>
      <c r="M157" s="202"/>
      <c r="N157" s="203">
        <f>ROUND($L$157*$K$157,2)</f>
        <v>0</v>
      </c>
      <c r="O157" s="202"/>
      <c r="P157" s="202"/>
      <c r="Q157" s="202"/>
      <c r="R157" s="24"/>
      <c r="T157" s="138"/>
      <c r="U157" s="30" t="s">
        <v>37</v>
      </c>
      <c r="V157" s="139">
        <v>0</v>
      </c>
      <c r="W157" s="139">
        <f>$V$157*$K$157</f>
        <v>0</v>
      </c>
      <c r="X157" s="139">
        <v>0</v>
      </c>
      <c r="Y157" s="139">
        <f>$X$157*$K$157</f>
        <v>0</v>
      </c>
      <c r="Z157" s="139">
        <v>0</v>
      </c>
      <c r="AA157" s="140">
        <f>$Z$157*$K$157</f>
        <v>0</v>
      </c>
      <c r="AR157" s="6" t="s">
        <v>161</v>
      </c>
      <c r="AT157" s="6" t="s">
        <v>157</v>
      </c>
      <c r="AU157" s="6" t="s">
        <v>164</v>
      </c>
      <c r="AY157" s="6" t="s">
        <v>156</v>
      </c>
      <c r="BE157" s="88">
        <f>IF($U$157="základní",$N$157,0)</f>
        <v>0</v>
      </c>
      <c r="BF157" s="88">
        <f>IF($U$157="snížená",$N$157,0)</f>
        <v>0</v>
      </c>
      <c r="BG157" s="88">
        <f>IF($U$157="zákl. přenesená",$N$157,0)</f>
        <v>0</v>
      </c>
      <c r="BH157" s="88">
        <f>IF($U$157="sníž. přenesená",$N$157,0)</f>
        <v>0</v>
      </c>
      <c r="BI157" s="88">
        <f>IF($U$157="nulová",$N$157,0)</f>
        <v>0</v>
      </c>
      <c r="BJ157" s="6" t="s">
        <v>17</v>
      </c>
      <c r="BK157" s="88">
        <f>ROUND($L$157*$K$157,2)</f>
        <v>0</v>
      </c>
      <c r="BL157" s="6" t="s">
        <v>161</v>
      </c>
    </row>
    <row r="158" spans="2:64" s="6" customFormat="1" ht="15.75" customHeight="1" x14ac:dyDescent="0.3">
      <c r="B158" s="22"/>
      <c r="C158" s="134" t="s">
        <v>210</v>
      </c>
      <c r="D158" s="134" t="s">
        <v>157</v>
      </c>
      <c r="E158" s="135" t="s">
        <v>211</v>
      </c>
      <c r="F158" s="205" t="s">
        <v>212</v>
      </c>
      <c r="G158" s="202"/>
      <c r="H158" s="202"/>
      <c r="I158" s="202"/>
      <c r="J158" s="136" t="s">
        <v>204</v>
      </c>
      <c r="K158" s="137">
        <v>0.9</v>
      </c>
      <c r="L158" s="201">
        <v>0</v>
      </c>
      <c r="M158" s="202"/>
      <c r="N158" s="203">
        <f>ROUND($L$158*$K$158,2)</f>
        <v>0</v>
      </c>
      <c r="O158" s="202"/>
      <c r="P158" s="202"/>
      <c r="Q158" s="202"/>
      <c r="R158" s="24"/>
      <c r="T158" s="138"/>
      <c r="U158" s="30" t="s">
        <v>37</v>
      </c>
      <c r="V158" s="139">
        <v>0.318</v>
      </c>
      <c r="W158" s="139">
        <f>$V$158*$K$158</f>
        <v>0.28620000000000001</v>
      </c>
      <c r="X158" s="139">
        <v>0</v>
      </c>
      <c r="Y158" s="139">
        <f>$X$158*$K$158</f>
        <v>0</v>
      </c>
      <c r="Z158" s="139">
        <v>0</v>
      </c>
      <c r="AA158" s="140">
        <f>$Z$158*$K$158</f>
        <v>0</v>
      </c>
      <c r="AR158" s="6" t="s">
        <v>161</v>
      </c>
      <c r="AT158" s="6" t="s">
        <v>157</v>
      </c>
      <c r="AU158" s="6" t="s">
        <v>164</v>
      </c>
      <c r="AY158" s="6" t="s">
        <v>156</v>
      </c>
      <c r="BE158" s="88">
        <f>IF($U$158="základní",$N$158,0)</f>
        <v>0</v>
      </c>
      <c r="BF158" s="88">
        <f>IF($U$158="snížená",$N$158,0)</f>
        <v>0</v>
      </c>
      <c r="BG158" s="88">
        <f>IF($U$158="zákl. přenesená",$N$158,0)</f>
        <v>0</v>
      </c>
      <c r="BH158" s="88">
        <f>IF($U$158="sníž. přenesená",$N$158,0)</f>
        <v>0</v>
      </c>
      <c r="BI158" s="88">
        <f>IF($U$158="nulová",$N$158,0)</f>
        <v>0</v>
      </c>
      <c r="BJ158" s="6" t="s">
        <v>17</v>
      </c>
      <c r="BK158" s="88">
        <f>ROUND($L$158*$K$158,2)</f>
        <v>0</v>
      </c>
      <c r="BL158" s="6" t="s">
        <v>161</v>
      </c>
    </row>
    <row r="159" spans="2:64" s="123" customFormat="1" ht="37.5" customHeight="1" x14ac:dyDescent="0.35">
      <c r="B159" s="124"/>
      <c r="C159" s="125"/>
      <c r="D159" s="126" t="s">
        <v>117</v>
      </c>
      <c r="E159" s="125"/>
      <c r="F159" s="125"/>
      <c r="G159" s="125"/>
      <c r="H159" s="125"/>
      <c r="I159" s="125"/>
      <c r="J159" s="125"/>
      <c r="K159" s="125"/>
      <c r="L159" s="125"/>
      <c r="M159" s="125"/>
      <c r="N159" s="197">
        <f>$BK$159</f>
        <v>0</v>
      </c>
      <c r="O159" s="196"/>
      <c r="P159" s="196"/>
      <c r="Q159" s="196"/>
      <c r="R159" s="127"/>
      <c r="T159" s="128"/>
      <c r="U159" s="125"/>
      <c r="V159" s="125"/>
      <c r="W159" s="129">
        <f>$W$160+$W$163+$W$168+$W$176+$W$195+$W$197+$W$200+$W$202+$W$210+$W$217+$W$221+$W$223</f>
        <v>1197.1597530000001</v>
      </c>
      <c r="X159" s="125"/>
      <c r="Y159" s="129">
        <f>$Y$160+$Y$163+$Y$168+$Y$176+$Y$195+$Y$197+$Y$200+$Y$202+$Y$210+$Y$217+$Y$221+$Y$223</f>
        <v>18.5291362</v>
      </c>
      <c r="Z159" s="125"/>
      <c r="AA159" s="130">
        <f>$AA$160+$AA$163+$AA$168+$AA$176+$AA$195+$AA$197+$AA$200+$AA$202+$AA$210+$AA$217+$AA$221+$AA$223</f>
        <v>1.3016850000000002</v>
      </c>
      <c r="AR159" s="131" t="s">
        <v>102</v>
      </c>
      <c r="AT159" s="131" t="s">
        <v>71</v>
      </c>
      <c r="AU159" s="131" t="s">
        <v>72</v>
      </c>
      <c r="AY159" s="131" t="s">
        <v>156</v>
      </c>
      <c r="BK159" s="132">
        <f>$BK$160+$BK$163+$BK$168+$BK$176+$BK$195+$BK$197+$BK$200+$BK$202+$BK$210+$BK$217+$BK$221+$BK$223</f>
        <v>0</v>
      </c>
    </row>
    <row r="160" spans="2:64" s="123" customFormat="1" ht="21" customHeight="1" x14ac:dyDescent="0.3">
      <c r="B160" s="124"/>
      <c r="C160" s="125"/>
      <c r="D160" s="133" t="s">
        <v>118</v>
      </c>
      <c r="E160" s="125"/>
      <c r="F160" s="125"/>
      <c r="G160" s="125"/>
      <c r="H160" s="125"/>
      <c r="I160" s="125"/>
      <c r="J160" s="125"/>
      <c r="K160" s="125"/>
      <c r="L160" s="125"/>
      <c r="M160" s="125"/>
      <c r="N160" s="195">
        <f>$BK$160</f>
        <v>0</v>
      </c>
      <c r="O160" s="196"/>
      <c r="P160" s="196"/>
      <c r="Q160" s="196"/>
      <c r="R160" s="127"/>
      <c r="T160" s="128"/>
      <c r="U160" s="125"/>
      <c r="V160" s="125"/>
      <c r="W160" s="129">
        <f>SUM($W$161:$W$162)</f>
        <v>27.36694</v>
      </c>
      <c r="X160" s="125"/>
      <c r="Y160" s="129">
        <f>SUM($Y$161:$Y$162)</f>
        <v>0.53040000000000009</v>
      </c>
      <c r="Z160" s="125"/>
      <c r="AA160" s="130">
        <f>SUM($AA$161:$AA$162)</f>
        <v>0</v>
      </c>
      <c r="AR160" s="131" t="s">
        <v>102</v>
      </c>
      <c r="AT160" s="131" t="s">
        <v>71</v>
      </c>
      <c r="AU160" s="131" t="s">
        <v>17</v>
      </c>
      <c r="AY160" s="131" t="s">
        <v>156</v>
      </c>
      <c r="BK160" s="132">
        <f>SUM($BK$161:$BK$162)</f>
        <v>0</v>
      </c>
    </row>
    <row r="161" spans="2:64" s="6" customFormat="1" ht="27" customHeight="1" x14ac:dyDescent="0.3">
      <c r="B161" s="22"/>
      <c r="C161" s="134" t="s">
        <v>213</v>
      </c>
      <c r="D161" s="134" t="s">
        <v>157</v>
      </c>
      <c r="E161" s="135" t="s">
        <v>214</v>
      </c>
      <c r="F161" s="205" t="s">
        <v>215</v>
      </c>
      <c r="G161" s="202"/>
      <c r="H161" s="202"/>
      <c r="I161" s="202"/>
      <c r="J161" s="136" t="s">
        <v>160</v>
      </c>
      <c r="K161" s="137">
        <v>176.8</v>
      </c>
      <c r="L161" s="201">
        <v>0</v>
      </c>
      <c r="M161" s="202"/>
      <c r="N161" s="203">
        <f>ROUND($L$161*$K$161,2)</f>
        <v>0</v>
      </c>
      <c r="O161" s="202"/>
      <c r="P161" s="202"/>
      <c r="Q161" s="202"/>
      <c r="R161" s="24"/>
      <c r="T161" s="138"/>
      <c r="U161" s="30" t="s">
        <v>37</v>
      </c>
      <c r="V161" s="139">
        <v>0.15</v>
      </c>
      <c r="W161" s="139">
        <f>$V$161*$K$161</f>
        <v>26.52</v>
      </c>
      <c r="X161" s="139">
        <v>3.0000000000000001E-3</v>
      </c>
      <c r="Y161" s="139">
        <f>$X$161*$K$161</f>
        <v>0.53040000000000009</v>
      </c>
      <c r="Z161" s="139">
        <v>0</v>
      </c>
      <c r="AA161" s="140">
        <f>$Z$161*$K$161</f>
        <v>0</v>
      </c>
      <c r="AR161" s="6" t="s">
        <v>161</v>
      </c>
      <c r="AT161" s="6" t="s">
        <v>157</v>
      </c>
      <c r="AU161" s="6" t="s">
        <v>102</v>
      </c>
      <c r="AY161" s="6" t="s">
        <v>156</v>
      </c>
      <c r="BE161" s="88">
        <f>IF($U$161="základní",$N$161,0)</f>
        <v>0</v>
      </c>
      <c r="BF161" s="88">
        <f>IF($U$161="snížená",$N$161,0)</f>
        <v>0</v>
      </c>
      <c r="BG161" s="88">
        <f>IF($U$161="zákl. přenesená",$N$161,0)</f>
        <v>0</v>
      </c>
      <c r="BH161" s="88">
        <f>IF($U$161="sníž. přenesená",$N$161,0)</f>
        <v>0</v>
      </c>
      <c r="BI161" s="88">
        <f>IF($U$161="nulová",$N$161,0)</f>
        <v>0</v>
      </c>
      <c r="BJ161" s="6" t="s">
        <v>17</v>
      </c>
      <c r="BK161" s="88">
        <f>ROUND($L$161*$K$161,2)</f>
        <v>0</v>
      </c>
      <c r="BL161" s="6" t="s">
        <v>161</v>
      </c>
    </row>
    <row r="162" spans="2:64" s="6" customFormat="1" ht="27" customHeight="1" x14ac:dyDescent="0.3">
      <c r="B162" s="22"/>
      <c r="C162" s="134" t="s">
        <v>216</v>
      </c>
      <c r="D162" s="134" t="s">
        <v>157</v>
      </c>
      <c r="E162" s="135" t="s">
        <v>217</v>
      </c>
      <c r="F162" s="205" t="s">
        <v>218</v>
      </c>
      <c r="G162" s="202"/>
      <c r="H162" s="202"/>
      <c r="I162" s="202"/>
      <c r="J162" s="136" t="s">
        <v>204</v>
      </c>
      <c r="K162" s="137">
        <v>0.53</v>
      </c>
      <c r="L162" s="201">
        <v>0</v>
      </c>
      <c r="M162" s="202"/>
      <c r="N162" s="203">
        <f>ROUND($L$162*$K$162,2)</f>
        <v>0</v>
      </c>
      <c r="O162" s="202"/>
      <c r="P162" s="202"/>
      <c r="Q162" s="202"/>
      <c r="R162" s="24"/>
      <c r="T162" s="138"/>
      <c r="U162" s="30" t="s">
        <v>37</v>
      </c>
      <c r="V162" s="139">
        <v>1.5980000000000001</v>
      </c>
      <c r="W162" s="139">
        <f>$V$162*$K$162</f>
        <v>0.84694000000000014</v>
      </c>
      <c r="X162" s="139">
        <v>0</v>
      </c>
      <c r="Y162" s="139">
        <f>$X$162*$K$162</f>
        <v>0</v>
      </c>
      <c r="Z162" s="139">
        <v>0</v>
      </c>
      <c r="AA162" s="140">
        <f>$Z$162*$K$162</f>
        <v>0</v>
      </c>
      <c r="AR162" s="6" t="s">
        <v>161</v>
      </c>
      <c r="AT162" s="6" t="s">
        <v>157</v>
      </c>
      <c r="AU162" s="6" t="s">
        <v>102</v>
      </c>
      <c r="AY162" s="6" t="s">
        <v>156</v>
      </c>
      <c r="BE162" s="88">
        <f>IF($U$162="základní",$N$162,0)</f>
        <v>0</v>
      </c>
      <c r="BF162" s="88">
        <f>IF($U$162="snížená",$N$162,0)</f>
        <v>0</v>
      </c>
      <c r="BG162" s="88">
        <f>IF($U$162="zákl. přenesená",$N$162,0)</f>
        <v>0</v>
      </c>
      <c r="BH162" s="88">
        <f>IF($U$162="sníž. přenesená",$N$162,0)</f>
        <v>0</v>
      </c>
      <c r="BI162" s="88">
        <f>IF($U$162="nulová",$N$162,0)</f>
        <v>0</v>
      </c>
      <c r="BJ162" s="6" t="s">
        <v>17</v>
      </c>
      <c r="BK162" s="88">
        <f>ROUND($L$162*$K$162,2)</f>
        <v>0</v>
      </c>
      <c r="BL162" s="6" t="s">
        <v>161</v>
      </c>
    </row>
    <row r="163" spans="2:64" s="123" customFormat="1" ht="30.75" customHeight="1" x14ac:dyDescent="0.3">
      <c r="B163" s="124"/>
      <c r="C163" s="125"/>
      <c r="D163" s="133" t="s">
        <v>119</v>
      </c>
      <c r="E163" s="125"/>
      <c r="F163" s="125"/>
      <c r="G163" s="125"/>
      <c r="H163" s="125"/>
      <c r="I163" s="125"/>
      <c r="J163" s="125"/>
      <c r="K163" s="125"/>
      <c r="L163" s="125"/>
      <c r="M163" s="125"/>
      <c r="N163" s="195">
        <f>$BK$163</f>
        <v>0</v>
      </c>
      <c r="O163" s="196"/>
      <c r="P163" s="196"/>
      <c r="Q163" s="196"/>
      <c r="R163" s="127"/>
      <c r="T163" s="128"/>
      <c r="U163" s="125"/>
      <c r="V163" s="125"/>
      <c r="W163" s="129">
        <f>SUM($W$164:$W$167)</f>
        <v>135.717668</v>
      </c>
      <c r="X163" s="125"/>
      <c r="Y163" s="129">
        <f>SUM($Y$164:$Y$167)</f>
        <v>0.11612</v>
      </c>
      <c r="Z163" s="125"/>
      <c r="AA163" s="130">
        <f>SUM($AA$164:$AA$167)</f>
        <v>0</v>
      </c>
      <c r="AR163" s="131" t="s">
        <v>102</v>
      </c>
      <c r="AT163" s="131" t="s">
        <v>71</v>
      </c>
      <c r="AU163" s="131" t="s">
        <v>17</v>
      </c>
      <c r="AY163" s="131" t="s">
        <v>156</v>
      </c>
      <c r="BK163" s="132">
        <f>SUM($BK$164:$BK$167)</f>
        <v>0</v>
      </c>
    </row>
    <row r="164" spans="2:64" s="6" customFormat="1" ht="27" customHeight="1" x14ac:dyDescent="0.3">
      <c r="B164" s="22"/>
      <c r="C164" s="134" t="s">
        <v>7</v>
      </c>
      <c r="D164" s="134" t="s">
        <v>157</v>
      </c>
      <c r="E164" s="135" t="s">
        <v>219</v>
      </c>
      <c r="F164" s="205" t="s">
        <v>220</v>
      </c>
      <c r="G164" s="202"/>
      <c r="H164" s="202"/>
      <c r="I164" s="202"/>
      <c r="J164" s="136" t="s">
        <v>195</v>
      </c>
      <c r="K164" s="137">
        <v>71</v>
      </c>
      <c r="L164" s="201">
        <v>0</v>
      </c>
      <c r="M164" s="202"/>
      <c r="N164" s="203">
        <f>ROUND($L$164*$K$164,2)</f>
        <v>0</v>
      </c>
      <c r="O164" s="202"/>
      <c r="P164" s="202"/>
      <c r="Q164" s="202"/>
      <c r="R164" s="24"/>
      <c r="T164" s="138"/>
      <c r="U164" s="30" t="s">
        <v>37</v>
      </c>
      <c r="V164" s="139">
        <v>0.73499999999999999</v>
      </c>
      <c r="W164" s="139">
        <f>$V$164*$K$164</f>
        <v>52.185000000000002</v>
      </c>
      <c r="X164" s="139">
        <v>5.5999999999999995E-4</v>
      </c>
      <c r="Y164" s="139">
        <f>$X$164*$K$164</f>
        <v>3.9759999999999997E-2</v>
      </c>
      <c r="Z164" s="139">
        <v>0</v>
      </c>
      <c r="AA164" s="140">
        <f>$Z$164*$K$164</f>
        <v>0</v>
      </c>
      <c r="AR164" s="6" t="s">
        <v>161</v>
      </c>
      <c r="AT164" s="6" t="s">
        <v>157</v>
      </c>
      <c r="AU164" s="6" t="s">
        <v>102</v>
      </c>
      <c r="AY164" s="6" t="s">
        <v>156</v>
      </c>
      <c r="BE164" s="88">
        <f>IF($U$164="základní",$N$164,0)</f>
        <v>0</v>
      </c>
      <c r="BF164" s="88">
        <f>IF($U$164="snížená",$N$164,0)</f>
        <v>0</v>
      </c>
      <c r="BG164" s="88">
        <f>IF($U$164="zákl. přenesená",$N$164,0)</f>
        <v>0</v>
      </c>
      <c r="BH164" s="88">
        <f>IF($U$164="sníž. přenesená",$N$164,0)</f>
        <v>0</v>
      </c>
      <c r="BI164" s="88">
        <f>IF($U$164="nulová",$N$164,0)</f>
        <v>0</v>
      </c>
      <c r="BJ164" s="6" t="s">
        <v>17</v>
      </c>
      <c r="BK164" s="88">
        <f>ROUND($L$164*$K$164,2)</f>
        <v>0</v>
      </c>
      <c r="BL164" s="6" t="s">
        <v>161</v>
      </c>
    </row>
    <row r="165" spans="2:64" s="6" customFormat="1" ht="27" customHeight="1" x14ac:dyDescent="0.3">
      <c r="B165" s="22"/>
      <c r="C165" s="134" t="s">
        <v>221</v>
      </c>
      <c r="D165" s="134" t="s">
        <v>157</v>
      </c>
      <c r="E165" s="135" t="s">
        <v>222</v>
      </c>
      <c r="F165" s="205" t="s">
        <v>223</v>
      </c>
      <c r="G165" s="202"/>
      <c r="H165" s="202"/>
      <c r="I165" s="202"/>
      <c r="J165" s="136" t="s">
        <v>195</v>
      </c>
      <c r="K165" s="137">
        <v>92</v>
      </c>
      <c r="L165" s="201">
        <v>0</v>
      </c>
      <c r="M165" s="202"/>
      <c r="N165" s="203">
        <f>ROUND($L$165*$K$165,2)</f>
        <v>0</v>
      </c>
      <c r="O165" s="202"/>
      <c r="P165" s="202"/>
      <c r="Q165" s="202"/>
      <c r="R165" s="24"/>
      <c r="T165" s="138"/>
      <c r="U165" s="30" t="s">
        <v>37</v>
      </c>
      <c r="V165" s="139">
        <v>0.82099999999999995</v>
      </c>
      <c r="W165" s="139">
        <f>$V$165*$K$165</f>
        <v>75.531999999999996</v>
      </c>
      <c r="X165" s="139">
        <v>8.3000000000000001E-4</v>
      </c>
      <c r="Y165" s="139">
        <f>$X$165*$K$165</f>
        <v>7.6359999999999997E-2</v>
      </c>
      <c r="Z165" s="139">
        <v>0</v>
      </c>
      <c r="AA165" s="140">
        <f>$Z$165*$K$165</f>
        <v>0</v>
      </c>
      <c r="AR165" s="6" t="s">
        <v>161</v>
      </c>
      <c r="AT165" s="6" t="s">
        <v>157</v>
      </c>
      <c r="AU165" s="6" t="s">
        <v>102</v>
      </c>
      <c r="AY165" s="6" t="s">
        <v>156</v>
      </c>
      <c r="BE165" s="88">
        <f>IF($U$165="základní",$N$165,0)</f>
        <v>0</v>
      </c>
      <c r="BF165" s="88">
        <f>IF($U$165="snížená",$N$165,0)</f>
        <v>0</v>
      </c>
      <c r="BG165" s="88">
        <f>IF($U$165="zákl. přenesená",$N$165,0)</f>
        <v>0</v>
      </c>
      <c r="BH165" s="88">
        <f>IF($U$165="sníž. přenesená",$N$165,0)</f>
        <v>0</v>
      </c>
      <c r="BI165" s="88">
        <f>IF($U$165="nulová",$N$165,0)</f>
        <v>0</v>
      </c>
      <c r="BJ165" s="6" t="s">
        <v>17</v>
      </c>
      <c r="BK165" s="88">
        <f>ROUND($L$165*$K$165,2)</f>
        <v>0</v>
      </c>
      <c r="BL165" s="6" t="s">
        <v>161</v>
      </c>
    </row>
    <row r="166" spans="2:64" s="6" customFormat="1" ht="27" customHeight="1" x14ac:dyDescent="0.3">
      <c r="B166" s="22"/>
      <c r="C166" s="134" t="s">
        <v>224</v>
      </c>
      <c r="D166" s="134" t="s">
        <v>157</v>
      </c>
      <c r="E166" s="135" t="s">
        <v>225</v>
      </c>
      <c r="F166" s="205" t="s">
        <v>226</v>
      </c>
      <c r="G166" s="202"/>
      <c r="H166" s="202"/>
      <c r="I166" s="202"/>
      <c r="J166" s="136" t="s">
        <v>195</v>
      </c>
      <c r="K166" s="137">
        <v>163</v>
      </c>
      <c r="L166" s="201">
        <v>0</v>
      </c>
      <c r="M166" s="202"/>
      <c r="N166" s="203">
        <f>ROUND($L$166*$K$166,2)</f>
        <v>0</v>
      </c>
      <c r="O166" s="202"/>
      <c r="P166" s="202"/>
      <c r="Q166" s="202"/>
      <c r="R166" s="24"/>
      <c r="T166" s="138"/>
      <c r="U166" s="30" t="s">
        <v>37</v>
      </c>
      <c r="V166" s="139">
        <v>4.8000000000000001E-2</v>
      </c>
      <c r="W166" s="139">
        <f>$V$166*$K$166</f>
        <v>7.8239999999999998</v>
      </c>
      <c r="X166" s="139">
        <v>0</v>
      </c>
      <c r="Y166" s="139">
        <f>$X$166*$K$166</f>
        <v>0</v>
      </c>
      <c r="Z166" s="139">
        <v>0</v>
      </c>
      <c r="AA166" s="140">
        <f>$Z$166*$K$166</f>
        <v>0</v>
      </c>
      <c r="AR166" s="6" t="s">
        <v>161</v>
      </c>
      <c r="AT166" s="6" t="s">
        <v>157</v>
      </c>
      <c r="AU166" s="6" t="s">
        <v>102</v>
      </c>
      <c r="AY166" s="6" t="s">
        <v>156</v>
      </c>
      <c r="BE166" s="88">
        <f>IF($U$166="základní",$N$166,0)</f>
        <v>0</v>
      </c>
      <c r="BF166" s="88">
        <f>IF($U$166="snížená",$N$166,0)</f>
        <v>0</v>
      </c>
      <c r="BG166" s="88">
        <f>IF($U$166="zákl. přenesená",$N$166,0)</f>
        <v>0</v>
      </c>
      <c r="BH166" s="88">
        <f>IF($U$166="sníž. přenesená",$N$166,0)</f>
        <v>0</v>
      </c>
      <c r="BI166" s="88">
        <f>IF($U$166="nulová",$N$166,0)</f>
        <v>0</v>
      </c>
      <c r="BJ166" s="6" t="s">
        <v>17</v>
      </c>
      <c r="BK166" s="88">
        <f>ROUND($L$166*$K$166,2)</f>
        <v>0</v>
      </c>
      <c r="BL166" s="6" t="s">
        <v>161</v>
      </c>
    </row>
    <row r="167" spans="2:64" s="6" customFormat="1" ht="27" customHeight="1" x14ac:dyDescent="0.3">
      <c r="B167" s="22"/>
      <c r="C167" s="134" t="s">
        <v>227</v>
      </c>
      <c r="D167" s="134" t="s">
        <v>157</v>
      </c>
      <c r="E167" s="135" t="s">
        <v>228</v>
      </c>
      <c r="F167" s="205" t="s">
        <v>229</v>
      </c>
      <c r="G167" s="202"/>
      <c r="H167" s="202"/>
      <c r="I167" s="202"/>
      <c r="J167" s="136" t="s">
        <v>204</v>
      </c>
      <c r="K167" s="137">
        <v>0.11600000000000001</v>
      </c>
      <c r="L167" s="201">
        <v>0</v>
      </c>
      <c r="M167" s="202"/>
      <c r="N167" s="203">
        <f>ROUND($L$167*$K$167,2)</f>
        <v>0</v>
      </c>
      <c r="O167" s="202"/>
      <c r="P167" s="202"/>
      <c r="Q167" s="202"/>
      <c r="R167" s="24"/>
      <c r="T167" s="138"/>
      <c r="U167" s="30" t="s">
        <v>37</v>
      </c>
      <c r="V167" s="139">
        <v>1.5229999999999999</v>
      </c>
      <c r="W167" s="139">
        <f>$V$167*$K$167</f>
        <v>0.17666799999999999</v>
      </c>
      <c r="X167" s="139">
        <v>0</v>
      </c>
      <c r="Y167" s="139">
        <f>$X$167*$K$167</f>
        <v>0</v>
      </c>
      <c r="Z167" s="139">
        <v>0</v>
      </c>
      <c r="AA167" s="140">
        <f>$Z$167*$K$167</f>
        <v>0</v>
      </c>
      <c r="AR167" s="6" t="s">
        <v>161</v>
      </c>
      <c r="AT167" s="6" t="s">
        <v>157</v>
      </c>
      <c r="AU167" s="6" t="s">
        <v>102</v>
      </c>
      <c r="AY167" s="6" t="s">
        <v>156</v>
      </c>
      <c r="BE167" s="88">
        <f>IF($U$167="základní",$N$167,0)</f>
        <v>0</v>
      </c>
      <c r="BF167" s="88">
        <f>IF($U$167="snížená",$N$167,0)</f>
        <v>0</v>
      </c>
      <c r="BG167" s="88">
        <f>IF($U$167="zákl. přenesená",$N$167,0)</f>
        <v>0</v>
      </c>
      <c r="BH167" s="88">
        <f>IF($U$167="sníž. přenesená",$N$167,0)</f>
        <v>0</v>
      </c>
      <c r="BI167" s="88">
        <f>IF($U$167="nulová",$N$167,0)</f>
        <v>0</v>
      </c>
      <c r="BJ167" s="6" t="s">
        <v>17</v>
      </c>
      <c r="BK167" s="88">
        <f>ROUND($L$167*$K$167,2)</f>
        <v>0</v>
      </c>
      <c r="BL167" s="6" t="s">
        <v>161</v>
      </c>
    </row>
    <row r="168" spans="2:64" s="123" customFormat="1" ht="30.75" customHeight="1" x14ac:dyDescent="0.3">
      <c r="B168" s="124"/>
      <c r="C168" s="125"/>
      <c r="D168" s="133" t="s">
        <v>120</v>
      </c>
      <c r="E168" s="125"/>
      <c r="F168" s="125"/>
      <c r="G168" s="125"/>
      <c r="H168" s="125"/>
      <c r="I168" s="125"/>
      <c r="J168" s="125"/>
      <c r="K168" s="125"/>
      <c r="L168" s="125"/>
      <c r="M168" s="125"/>
      <c r="N168" s="195">
        <f>$BK$168</f>
        <v>0</v>
      </c>
      <c r="O168" s="196"/>
      <c r="P168" s="196"/>
      <c r="Q168" s="196"/>
      <c r="R168" s="127"/>
      <c r="T168" s="128"/>
      <c r="U168" s="125"/>
      <c r="V168" s="125"/>
      <c r="W168" s="129">
        <f>SUM($W$169:$W$175)</f>
        <v>202.11930599999999</v>
      </c>
      <c r="X168" s="125"/>
      <c r="Y168" s="129">
        <f>SUM($Y$169:$Y$175)</f>
        <v>0.31941000000000003</v>
      </c>
      <c r="Z168" s="125"/>
      <c r="AA168" s="130">
        <f>SUM($AA$169:$AA$175)</f>
        <v>0</v>
      </c>
      <c r="AR168" s="131" t="s">
        <v>102</v>
      </c>
      <c r="AT168" s="131" t="s">
        <v>71</v>
      </c>
      <c r="AU168" s="131" t="s">
        <v>17</v>
      </c>
      <c r="AY168" s="131" t="s">
        <v>156</v>
      </c>
      <c r="BK168" s="132">
        <f>SUM($BK$169:$BK$175)</f>
        <v>0</v>
      </c>
    </row>
    <row r="169" spans="2:64" s="6" customFormat="1" ht="27" customHeight="1" x14ac:dyDescent="0.3">
      <c r="B169" s="22"/>
      <c r="C169" s="134" t="s">
        <v>230</v>
      </c>
      <c r="D169" s="134" t="s">
        <v>157</v>
      </c>
      <c r="E169" s="135" t="s">
        <v>231</v>
      </c>
      <c r="F169" s="205" t="s">
        <v>232</v>
      </c>
      <c r="G169" s="202"/>
      <c r="H169" s="202"/>
      <c r="I169" s="202"/>
      <c r="J169" s="136" t="s">
        <v>195</v>
      </c>
      <c r="K169" s="137">
        <v>106</v>
      </c>
      <c r="L169" s="201">
        <v>0</v>
      </c>
      <c r="M169" s="202"/>
      <c r="N169" s="203">
        <f>ROUND($L$169*$K$169,2)</f>
        <v>0</v>
      </c>
      <c r="O169" s="202"/>
      <c r="P169" s="202"/>
      <c r="Q169" s="202"/>
      <c r="R169" s="24"/>
      <c r="T169" s="138"/>
      <c r="U169" s="30" t="s">
        <v>37</v>
      </c>
      <c r="V169" s="139">
        <v>0.52900000000000003</v>
      </c>
      <c r="W169" s="139">
        <f>$V$169*$K$169</f>
        <v>56.074000000000005</v>
      </c>
      <c r="X169" s="139">
        <v>6.6E-4</v>
      </c>
      <c r="Y169" s="139">
        <f>$X$169*$K$169</f>
        <v>6.9959999999999994E-2</v>
      </c>
      <c r="Z169" s="139">
        <v>0</v>
      </c>
      <c r="AA169" s="140">
        <f>$Z$169*$K$169</f>
        <v>0</v>
      </c>
      <c r="AR169" s="6" t="s">
        <v>161</v>
      </c>
      <c r="AT169" s="6" t="s">
        <v>157</v>
      </c>
      <c r="AU169" s="6" t="s">
        <v>102</v>
      </c>
      <c r="AY169" s="6" t="s">
        <v>156</v>
      </c>
      <c r="BE169" s="88">
        <f>IF($U$169="základní",$N$169,0)</f>
        <v>0</v>
      </c>
      <c r="BF169" s="88">
        <f>IF($U$169="snížená",$N$169,0)</f>
        <v>0</v>
      </c>
      <c r="BG169" s="88">
        <f>IF($U$169="zákl. přenesená",$N$169,0)</f>
        <v>0</v>
      </c>
      <c r="BH169" s="88">
        <f>IF($U$169="sníž. přenesená",$N$169,0)</f>
        <v>0</v>
      </c>
      <c r="BI169" s="88">
        <f>IF($U$169="nulová",$N$169,0)</f>
        <v>0</v>
      </c>
      <c r="BJ169" s="6" t="s">
        <v>17</v>
      </c>
      <c r="BK169" s="88">
        <f>ROUND($L$169*$K$169,2)</f>
        <v>0</v>
      </c>
      <c r="BL169" s="6" t="s">
        <v>161</v>
      </c>
    </row>
    <row r="170" spans="2:64" s="6" customFormat="1" ht="27" customHeight="1" x14ac:dyDescent="0.3">
      <c r="B170" s="22"/>
      <c r="C170" s="134" t="s">
        <v>233</v>
      </c>
      <c r="D170" s="134" t="s">
        <v>157</v>
      </c>
      <c r="E170" s="135" t="s">
        <v>234</v>
      </c>
      <c r="F170" s="205" t="s">
        <v>235</v>
      </c>
      <c r="G170" s="202"/>
      <c r="H170" s="202"/>
      <c r="I170" s="202"/>
      <c r="J170" s="136" t="s">
        <v>195</v>
      </c>
      <c r="K170" s="137">
        <v>99</v>
      </c>
      <c r="L170" s="201">
        <v>0</v>
      </c>
      <c r="M170" s="202"/>
      <c r="N170" s="203">
        <f>ROUND($L$170*$K$170,2)</f>
        <v>0</v>
      </c>
      <c r="O170" s="202"/>
      <c r="P170" s="202"/>
      <c r="Q170" s="202"/>
      <c r="R170" s="24"/>
      <c r="T170" s="138"/>
      <c r="U170" s="30" t="s">
        <v>37</v>
      </c>
      <c r="V170" s="139">
        <v>0.69599999999999995</v>
      </c>
      <c r="W170" s="139">
        <f>$V$170*$K$170</f>
        <v>68.903999999999996</v>
      </c>
      <c r="X170" s="139">
        <v>1.1900000000000001E-3</v>
      </c>
      <c r="Y170" s="139">
        <f>$X$170*$K$170</f>
        <v>0.11781000000000001</v>
      </c>
      <c r="Z170" s="139">
        <v>0</v>
      </c>
      <c r="AA170" s="140">
        <f>$Z$170*$K$170</f>
        <v>0</v>
      </c>
      <c r="AR170" s="6" t="s">
        <v>161</v>
      </c>
      <c r="AT170" s="6" t="s">
        <v>157</v>
      </c>
      <c r="AU170" s="6" t="s">
        <v>102</v>
      </c>
      <c r="AY170" s="6" t="s">
        <v>156</v>
      </c>
      <c r="BE170" s="88">
        <f>IF($U$170="základní",$N$170,0)</f>
        <v>0</v>
      </c>
      <c r="BF170" s="88">
        <f>IF($U$170="snížená",$N$170,0)</f>
        <v>0</v>
      </c>
      <c r="BG170" s="88">
        <f>IF($U$170="zákl. přenesená",$N$170,0)</f>
        <v>0</v>
      </c>
      <c r="BH170" s="88">
        <f>IF($U$170="sníž. přenesená",$N$170,0)</f>
        <v>0</v>
      </c>
      <c r="BI170" s="88">
        <f>IF($U$170="nulová",$N$170,0)</f>
        <v>0</v>
      </c>
      <c r="BJ170" s="6" t="s">
        <v>17</v>
      </c>
      <c r="BK170" s="88">
        <f>ROUND($L$170*$K$170,2)</f>
        <v>0</v>
      </c>
      <c r="BL170" s="6" t="s">
        <v>161</v>
      </c>
    </row>
    <row r="171" spans="2:64" s="6" customFormat="1" ht="39" customHeight="1" x14ac:dyDescent="0.3">
      <c r="B171" s="22"/>
      <c r="C171" s="134" t="s">
        <v>236</v>
      </c>
      <c r="D171" s="134" t="s">
        <v>157</v>
      </c>
      <c r="E171" s="135" t="s">
        <v>237</v>
      </c>
      <c r="F171" s="205" t="s">
        <v>238</v>
      </c>
      <c r="G171" s="202"/>
      <c r="H171" s="202"/>
      <c r="I171" s="202"/>
      <c r="J171" s="136" t="s">
        <v>195</v>
      </c>
      <c r="K171" s="137">
        <v>140</v>
      </c>
      <c r="L171" s="201">
        <v>0</v>
      </c>
      <c r="M171" s="202"/>
      <c r="N171" s="203">
        <f>ROUND($L$171*$K$171,2)</f>
        <v>0</v>
      </c>
      <c r="O171" s="202"/>
      <c r="P171" s="202"/>
      <c r="Q171" s="202"/>
      <c r="R171" s="24"/>
      <c r="T171" s="138"/>
      <c r="U171" s="30" t="s">
        <v>37</v>
      </c>
      <c r="V171" s="139">
        <v>0.10299999999999999</v>
      </c>
      <c r="W171" s="139">
        <f>$V$171*$K$171</f>
        <v>14.42</v>
      </c>
      <c r="X171" s="139">
        <v>5.0000000000000002E-5</v>
      </c>
      <c r="Y171" s="139">
        <f>$X$171*$K$171</f>
        <v>7.0000000000000001E-3</v>
      </c>
      <c r="Z171" s="139">
        <v>0</v>
      </c>
      <c r="AA171" s="140">
        <f>$Z$171*$K$171</f>
        <v>0</v>
      </c>
      <c r="AR171" s="6" t="s">
        <v>161</v>
      </c>
      <c r="AT171" s="6" t="s">
        <v>157</v>
      </c>
      <c r="AU171" s="6" t="s">
        <v>102</v>
      </c>
      <c r="AY171" s="6" t="s">
        <v>156</v>
      </c>
      <c r="BE171" s="88">
        <f>IF($U$171="základní",$N$171,0)</f>
        <v>0</v>
      </c>
      <c r="BF171" s="88">
        <f>IF($U$171="snížená",$N$171,0)</f>
        <v>0</v>
      </c>
      <c r="BG171" s="88">
        <f>IF($U$171="zákl. přenesená",$N$171,0)</f>
        <v>0</v>
      </c>
      <c r="BH171" s="88">
        <f>IF($U$171="sníž. přenesená",$N$171,0)</f>
        <v>0</v>
      </c>
      <c r="BI171" s="88">
        <f>IF($U$171="nulová",$N$171,0)</f>
        <v>0</v>
      </c>
      <c r="BJ171" s="6" t="s">
        <v>17</v>
      </c>
      <c r="BK171" s="88">
        <f>ROUND($L$171*$K$171,2)</f>
        <v>0</v>
      </c>
      <c r="BL171" s="6" t="s">
        <v>161</v>
      </c>
    </row>
    <row r="172" spans="2:64" s="6" customFormat="1" ht="15.75" customHeight="1" x14ac:dyDescent="0.3">
      <c r="B172" s="22"/>
      <c r="C172" s="134" t="s">
        <v>239</v>
      </c>
      <c r="D172" s="134" t="s">
        <v>157</v>
      </c>
      <c r="E172" s="135" t="s">
        <v>240</v>
      </c>
      <c r="F172" s="205" t="s">
        <v>241</v>
      </c>
      <c r="G172" s="202"/>
      <c r="H172" s="202"/>
      <c r="I172" s="202"/>
      <c r="J172" s="136" t="s">
        <v>176</v>
      </c>
      <c r="K172" s="137">
        <v>33</v>
      </c>
      <c r="L172" s="201">
        <v>0</v>
      </c>
      <c r="M172" s="202"/>
      <c r="N172" s="203">
        <f>ROUND($L$172*$K$172,2)</f>
        <v>0</v>
      </c>
      <c r="O172" s="202"/>
      <c r="P172" s="202"/>
      <c r="Q172" s="202"/>
      <c r="R172" s="24"/>
      <c r="T172" s="138"/>
      <c r="U172" s="30" t="s">
        <v>37</v>
      </c>
      <c r="V172" s="139">
        <v>0.26600000000000001</v>
      </c>
      <c r="W172" s="139">
        <f>$V$172*$K$172</f>
        <v>8.7780000000000005</v>
      </c>
      <c r="X172" s="139">
        <v>1.23E-3</v>
      </c>
      <c r="Y172" s="139">
        <f>$X$172*$K$172</f>
        <v>4.0590000000000001E-2</v>
      </c>
      <c r="Z172" s="139">
        <v>0</v>
      </c>
      <c r="AA172" s="140">
        <f>$Z$172*$K$172</f>
        <v>0</v>
      </c>
      <c r="AR172" s="6" t="s">
        <v>161</v>
      </c>
      <c r="AT172" s="6" t="s">
        <v>157</v>
      </c>
      <c r="AU172" s="6" t="s">
        <v>102</v>
      </c>
      <c r="AY172" s="6" t="s">
        <v>156</v>
      </c>
      <c r="BE172" s="88">
        <f>IF($U$172="základní",$N$172,0)</f>
        <v>0</v>
      </c>
      <c r="BF172" s="88">
        <f>IF($U$172="snížená",$N$172,0)</f>
        <v>0</v>
      </c>
      <c r="BG172" s="88">
        <f>IF($U$172="zákl. přenesená",$N$172,0)</f>
        <v>0</v>
      </c>
      <c r="BH172" s="88">
        <f>IF($U$172="sníž. přenesená",$N$172,0)</f>
        <v>0</v>
      </c>
      <c r="BI172" s="88">
        <f>IF($U$172="nulová",$N$172,0)</f>
        <v>0</v>
      </c>
      <c r="BJ172" s="6" t="s">
        <v>17</v>
      </c>
      <c r="BK172" s="88">
        <f>ROUND($L$172*$K$172,2)</f>
        <v>0</v>
      </c>
      <c r="BL172" s="6" t="s">
        <v>161</v>
      </c>
    </row>
    <row r="173" spans="2:64" s="6" customFormat="1" ht="27" customHeight="1" x14ac:dyDescent="0.3">
      <c r="B173" s="22"/>
      <c r="C173" s="134" t="s">
        <v>242</v>
      </c>
      <c r="D173" s="134" t="s">
        <v>157</v>
      </c>
      <c r="E173" s="135" t="s">
        <v>243</v>
      </c>
      <c r="F173" s="205" t="s">
        <v>244</v>
      </c>
      <c r="G173" s="202"/>
      <c r="H173" s="202"/>
      <c r="I173" s="202"/>
      <c r="J173" s="136" t="s">
        <v>195</v>
      </c>
      <c r="K173" s="137">
        <v>205</v>
      </c>
      <c r="L173" s="201">
        <v>0</v>
      </c>
      <c r="M173" s="202"/>
      <c r="N173" s="203">
        <f>ROUND($L$173*$K$173,2)</f>
        <v>0</v>
      </c>
      <c r="O173" s="202"/>
      <c r="P173" s="202"/>
      <c r="Q173" s="202"/>
      <c r="R173" s="24"/>
      <c r="T173" s="138"/>
      <c r="U173" s="30" t="s">
        <v>37</v>
      </c>
      <c r="V173" s="139">
        <v>0.17899999999999999</v>
      </c>
      <c r="W173" s="139">
        <f>$V$173*$K$173</f>
        <v>36.695</v>
      </c>
      <c r="X173" s="139">
        <v>4.0000000000000002E-4</v>
      </c>
      <c r="Y173" s="139">
        <f>$X$173*$K$173</f>
        <v>8.2000000000000003E-2</v>
      </c>
      <c r="Z173" s="139">
        <v>0</v>
      </c>
      <c r="AA173" s="140">
        <f>$Z$173*$K$173</f>
        <v>0</v>
      </c>
      <c r="AR173" s="6" t="s">
        <v>161</v>
      </c>
      <c r="AT173" s="6" t="s">
        <v>157</v>
      </c>
      <c r="AU173" s="6" t="s">
        <v>102</v>
      </c>
      <c r="AY173" s="6" t="s">
        <v>156</v>
      </c>
      <c r="BE173" s="88">
        <f>IF($U$173="základní",$N$173,0)</f>
        <v>0</v>
      </c>
      <c r="BF173" s="88">
        <f>IF($U$173="snížená",$N$173,0)</f>
        <v>0</v>
      </c>
      <c r="BG173" s="88">
        <f>IF($U$173="zákl. přenesená",$N$173,0)</f>
        <v>0</v>
      </c>
      <c r="BH173" s="88">
        <f>IF($U$173="sníž. přenesená",$N$173,0)</f>
        <v>0</v>
      </c>
      <c r="BI173" s="88">
        <f>IF($U$173="nulová",$N$173,0)</f>
        <v>0</v>
      </c>
      <c r="BJ173" s="6" t="s">
        <v>17</v>
      </c>
      <c r="BK173" s="88">
        <f>ROUND($L$173*$K$173,2)</f>
        <v>0</v>
      </c>
      <c r="BL173" s="6" t="s">
        <v>161</v>
      </c>
    </row>
    <row r="174" spans="2:64" s="6" customFormat="1" ht="27" customHeight="1" x14ac:dyDescent="0.3">
      <c r="B174" s="22"/>
      <c r="C174" s="134" t="s">
        <v>245</v>
      </c>
      <c r="D174" s="134" t="s">
        <v>157</v>
      </c>
      <c r="E174" s="135" t="s">
        <v>246</v>
      </c>
      <c r="F174" s="205" t="s">
        <v>247</v>
      </c>
      <c r="G174" s="202"/>
      <c r="H174" s="202"/>
      <c r="I174" s="202"/>
      <c r="J174" s="136" t="s">
        <v>195</v>
      </c>
      <c r="K174" s="137">
        <v>205</v>
      </c>
      <c r="L174" s="201">
        <v>0</v>
      </c>
      <c r="M174" s="202"/>
      <c r="N174" s="203">
        <f>ROUND($L$174*$K$174,2)</f>
        <v>0</v>
      </c>
      <c r="O174" s="202"/>
      <c r="P174" s="202"/>
      <c r="Q174" s="202"/>
      <c r="R174" s="24"/>
      <c r="T174" s="138"/>
      <c r="U174" s="30" t="s">
        <v>37</v>
      </c>
      <c r="V174" s="139">
        <v>8.2000000000000003E-2</v>
      </c>
      <c r="W174" s="139">
        <f>$V$174*$K$174</f>
        <v>16.810000000000002</v>
      </c>
      <c r="X174" s="139">
        <v>1.0000000000000001E-5</v>
      </c>
      <c r="Y174" s="139">
        <f>$X$174*$K$174</f>
        <v>2.0500000000000002E-3</v>
      </c>
      <c r="Z174" s="139">
        <v>0</v>
      </c>
      <c r="AA174" s="140">
        <f>$Z$174*$K$174</f>
        <v>0</v>
      </c>
      <c r="AR174" s="6" t="s">
        <v>161</v>
      </c>
      <c r="AT174" s="6" t="s">
        <v>157</v>
      </c>
      <c r="AU174" s="6" t="s">
        <v>102</v>
      </c>
      <c r="AY174" s="6" t="s">
        <v>156</v>
      </c>
      <c r="BE174" s="88">
        <f>IF($U$174="základní",$N$174,0)</f>
        <v>0</v>
      </c>
      <c r="BF174" s="88">
        <f>IF($U$174="snížená",$N$174,0)</f>
        <v>0</v>
      </c>
      <c r="BG174" s="88">
        <f>IF($U$174="zákl. přenesená",$N$174,0)</f>
        <v>0</v>
      </c>
      <c r="BH174" s="88">
        <f>IF($U$174="sníž. přenesená",$N$174,0)</f>
        <v>0</v>
      </c>
      <c r="BI174" s="88">
        <f>IF($U$174="nulová",$N$174,0)</f>
        <v>0</v>
      </c>
      <c r="BJ174" s="6" t="s">
        <v>17</v>
      </c>
      <c r="BK174" s="88">
        <f>ROUND($L$174*$K$174,2)</f>
        <v>0</v>
      </c>
      <c r="BL174" s="6" t="s">
        <v>161</v>
      </c>
    </row>
    <row r="175" spans="2:64" s="6" customFormat="1" ht="27" customHeight="1" x14ac:dyDescent="0.3">
      <c r="B175" s="22"/>
      <c r="C175" s="134" t="s">
        <v>248</v>
      </c>
      <c r="D175" s="134" t="s">
        <v>157</v>
      </c>
      <c r="E175" s="135" t="s">
        <v>249</v>
      </c>
      <c r="F175" s="205" t="s">
        <v>250</v>
      </c>
      <c r="G175" s="202"/>
      <c r="H175" s="202"/>
      <c r="I175" s="202"/>
      <c r="J175" s="136" t="s">
        <v>204</v>
      </c>
      <c r="K175" s="137">
        <v>0.31900000000000001</v>
      </c>
      <c r="L175" s="201">
        <v>0</v>
      </c>
      <c r="M175" s="202"/>
      <c r="N175" s="203">
        <f>ROUND($L$175*$K$175,2)</f>
        <v>0</v>
      </c>
      <c r="O175" s="202"/>
      <c r="P175" s="202"/>
      <c r="Q175" s="202"/>
      <c r="R175" s="24"/>
      <c r="T175" s="138"/>
      <c r="U175" s="30" t="s">
        <v>37</v>
      </c>
      <c r="V175" s="139">
        <v>1.3740000000000001</v>
      </c>
      <c r="W175" s="139">
        <f>$V$175*$K$175</f>
        <v>0.43830600000000003</v>
      </c>
      <c r="X175" s="139">
        <v>0</v>
      </c>
      <c r="Y175" s="139">
        <f>$X$175*$K$175</f>
        <v>0</v>
      </c>
      <c r="Z175" s="139">
        <v>0</v>
      </c>
      <c r="AA175" s="140">
        <f>$Z$175*$K$175</f>
        <v>0</v>
      </c>
      <c r="AR175" s="6" t="s">
        <v>161</v>
      </c>
      <c r="AT175" s="6" t="s">
        <v>157</v>
      </c>
      <c r="AU175" s="6" t="s">
        <v>102</v>
      </c>
      <c r="AY175" s="6" t="s">
        <v>156</v>
      </c>
      <c r="BE175" s="88">
        <f>IF($U$175="základní",$N$175,0)</f>
        <v>0</v>
      </c>
      <c r="BF175" s="88">
        <f>IF($U$175="snížená",$N$175,0)</f>
        <v>0</v>
      </c>
      <c r="BG175" s="88">
        <f>IF($U$175="zákl. přenesená",$N$175,0)</f>
        <v>0</v>
      </c>
      <c r="BH175" s="88">
        <f>IF($U$175="sníž. přenesená",$N$175,0)</f>
        <v>0</v>
      </c>
      <c r="BI175" s="88">
        <f>IF($U$175="nulová",$N$175,0)</f>
        <v>0</v>
      </c>
      <c r="BJ175" s="6" t="s">
        <v>17</v>
      </c>
      <c r="BK175" s="88">
        <f>ROUND($L$175*$K$175,2)</f>
        <v>0</v>
      </c>
      <c r="BL175" s="6" t="s">
        <v>161</v>
      </c>
    </row>
    <row r="176" spans="2:64" s="123" customFormat="1" ht="30.75" customHeight="1" x14ac:dyDescent="0.3">
      <c r="B176" s="124"/>
      <c r="C176" s="125"/>
      <c r="D176" s="133" t="s">
        <v>121</v>
      </c>
      <c r="E176" s="125"/>
      <c r="F176" s="125"/>
      <c r="G176" s="125"/>
      <c r="H176" s="125"/>
      <c r="I176" s="125"/>
      <c r="J176" s="125"/>
      <c r="K176" s="125"/>
      <c r="L176" s="125"/>
      <c r="M176" s="125"/>
      <c r="N176" s="195">
        <f>$BK$176</f>
        <v>0</v>
      </c>
      <c r="O176" s="196"/>
      <c r="P176" s="196"/>
      <c r="Q176" s="196"/>
      <c r="R176" s="127"/>
      <c r="T176" s="128"/>
      <c r="U176" s="125"/>
      <c r="V176" s="125"/>
      <c r="W176" s="129">
        <f>SUM($W$177:$W$194)</f>
        <v>132.769261</v>
      </c>
      <c r="X176" s="125"/>
      <c r="Y176" s="129">
        <f>SUM($Y$177:$Y$194)</f>
        <v>1.2569899999999998</v>
      </c>
      <c r="Z176" s="125"/>
      <c r="AA176" s="130">
        <f>SUM($AA$177:$AA$194)</f>
        <v>1.1552600000000002</v>
      </c>
      <c r="AR176" s="131" t="s">
        <v>102</v>
      </c>
      <c r="AT176" s="131" t="s">
        <v>71</v>
      </c>
      <c r="AU176" s="131" t="s">
        <v>17</v>
      </c>
      <c r="AY176" s="131" t="s">
        <v>156</v>
      </c>
      <c r="BK176" s="132">
        <f>SUM($BK$177:$BK$194)</f>
        <v>0</v>
      </c>
    </row>
    <row r="177" spans="2:64" s="6" customFormat="1" ht="15.75" customHeight="1" x14ac:dyDescent="0.3">
      <c r="B177" s="22"/>
      <c r="C177" s="134" t="s">
        <v>251</v>
      </c>
      <c r="D177" s="134" t="s">
        <v>157</v>
      </c>
      <c r="E177" s="135" t="s">
        <v>252</v>
      </c>
      <c r="F177" s="205" t="s">
        <v>253</v>
      </c>
      <c r="G177" s="202"/>
      <c r="H177" s="202"/>
      <c r="I177" s="202"/>
      <c r="J177" s="136" t="s">
        <v>254</v>
      </c>
      <c r="K177" s="137">
        <v>25</v>
      </c>
      <c r="L177" s="201">
        <v>0</v>
      </c>
      <c r="M177" s="202"/>
      <c r="N177" s="203">
        <f>ROUND($L$177*$K$177,2)</f>
        <v>0</v>
      </c>
      <c r="O177" s="202"/>
      <c r="P177" s="202"/>
      <c r="Q177" s="202"/>
      <c r="R177" s="24"/>
      <c r="T177" s="138"/>
      <c r="U177" s="30" t="s">
        <v>37</v>
      </c>
      <c r="V177" s="139">
        <v>0.54800000000000004</v>
      </c>
      <c r="W177" s="139">
        <f>$V$177*$K$177</f>
        <v>13.700000000000001</v>
      </c>
      <c r="X177" s="139">
        <v>0</v>
      </c>
      <c r="Y177" s="139">
        <f>$X$177*$K$177</f>
        <v>0</v>
      </c>
      <c r="Z177" s="139">
        <v>1.933E-2</v>
      </c>
      <c r="AA177" s="140">
        <f>$Z$177*$K$177</f>
        <v>0.48325000000000001</v>
      </c>
      <c r="AR177" s="6" t="s">
        <v>161</v>
      </c>
      <c r="AT177" s="6" t="s">
        <v>157</v>
      </c>
      <c r="AU177" s="6" t="s">
        <v>102</v>
      </c>
      <c r="AY177" s="6" t="s">
        <v>156</v>
      </c>
      <c r="BE177" s="88">
        <f>IF($U$177="základní",$N$177,0)</f>
        <v>0</v>
      </c>
      <c r="BF177" s="88">
        <f>IF($U$177="snížená",$N$177,0)</f>
        <v>0</v>
      </c>
      <c r="BG177" s="88">
        <f>IF($U$177="zákl. přenesená",$N$177,0)</f>
        <v>0</v>
      </c>
      <c r="BH177" s="88">
        <f>IF($U$177="sníž. přenesená",$N$177,0)</f>
        <v>0</v>
      </c>
      <c r="BI177" s="88">
        <f>IF($U$177="nulová",$N$177,0)</f>
        <v>0</v>
      </c>
      <c r="BJ177" s="6" t="s">
        <v>17</v>
      </c>
      <c r="BK177" s="88">
        <f>ROUND($L$177*$K$177,2)</f>
        <v>0</v>
      </c>
      <c r="BL177" s="6" t="s">
        <v>161</v>
      </c>
    </row>
    <row r="178" spans="2:64" s="6" customFormat="1" ht="39" customHeight="1" x14ac:dyDescent="0.3">
      <c r="B178" s="22"/>
      <c r="C178" s="134" t="s">
        <v>255</v>
      </c>
      <c r="D178" s="134" t="s">
        <v>157</v>
      </c>
      <c r="E178" s="135" t="s">
        <v>256</v>
      </c>
      <c r="F178" s="205" t="s">
        <v>257</v>
      </c>
      <c r="G178" s="202"/>
      <c r="H178" s="202"/>
      <c r="I178" s="202"/>
      <c r="J178" s="136" t="s">
        <v>254</v>
      </c>
      <c r="K178" s="137">
        <v>20</v>
      </c>
      <c r="L178" s="201">
        <v>0</v>
      </c>
      <c r="M178" s="202"/>
      <c r="N178" s="203">
        <f>ROUND($L$178*$K$178,2)</f>
        <v>0</v>
      </c>
      <c r="O178" s="202"/>
      <c r="P178" s="202"/>
      <c r="Q178" s="202"/>
      <c r="R178" s="24"/>
      <c r="T178" s="138"/>
      <c r="U178" s="30" t="s">
        <v>37</v>
      </c>
      <c r="V178" s="139">
        <v>1.1000000000000001</v>
      </c>
      <c r="W178" s="139">
        <f>$V$178*$K$178</f>
        <v>22</v>
      </c>
      <c r="X178" s="139">
        <v>2.3720000000000001E-2</v>
      </c>
      <c r="Y178" s="139">
        <f>$X$178*$K$178</f>
        <v>0.47440000000000004</v>
      </c>
      <c r="Z178" s="139">
        <v>0</v>
      </c>
      <c r="AA178" s="140">
        <f>$Z$178*$K$178</f>
        <v>0</v>
      </c>
      <c r="AR178" s="6" t="s">
        <v>161</v>
      </c>
      <c r="AT178" s="6" t="s">
        <v>157</v>
      </c>
      <c r="AU178" s="6" t="s">
        <v>102</v>
      </c>
      <c r="AY178" s="6" t="s">
        <v>156</v>
      </c>
      <c r="BE178" s="88">
        <f>IF($U$178="základní",$N$178,0)</f>
        <v>0</v>
      </c>
      <c r="BF178" s="88">
        <f>IF($U$178="snížená",$N$178,0)</f>
        <v>0</v>
      </c>
      <c r="BG178" s="88">
        <f>IF($U$178="zákl. přenesená",$N$178,0)</f>
        <v>0</v>
      </c>
      <c r="BH178" s="88">
        <f>IF($U$178="sníž. přenesená",$N$178,0)</f>
        <v>0</v>
      </c>
      <c r="BI178" s="88">
        <f>IF($U$178="nulová",$N$178,0)</f>
        <v>0</v>
      </c>
      <c r="BJ178" s="6" t="s">
        <v>17</v>
      </c>
      <c r="BK178" s="88">
        <f>ROUND($L$178*$K$178,2)</f>
        <v>0</v>
      </c>
      <c r="BL178" s="6" t="s">
        <v>161</v>
      </c>
    </row>
    <row r="179" spans="2:64" s="6" customFormat="1" ht="27" customHeight="1" x14ac:dyDescent="0.3">
      <c r="B179" s="22"/>
      <c r="C179" s="134" t="s">
        <v>258</v>
      </c>
      <c r="D179" s="134" t="s">
        <v>157</v>
      </c>
      <c r="E179" s="135" t="s">
        <v>259</v>
      </c>
      <c r="F179" s="205" t="s">
        <v>260</v>
      </c>
      <c r="G179" s="202"/>
      <c r="H179" s="202"/>
      <c r="I179" s="202"/>
      <c r="J179" s="136" t="s">
        <v>254</v>
      </c>
      <c r="K179" s="137">
        <v>15</v>
      </c>
      <c r="L179" s="201">
        <v>0</v>
      </c>
      <c r="M179" s="202"/>
      <c r="N179" s="203">
        <f>ROUND($L$179*$K$179,2)</f>
        <v>0</v>
      </c>
      <c r="O179" s="202"/>
      <c r="P179" s="202"/>
      <c r="Q179" s="202"/>
      <c r="R179" s="24"/>
      <c r="T179" s="138"/>
      <c r="U179" s="30" t="s">
        <v>37</v>
      </c>
      <c r="V179" s="139">
        <v>0.75</v>
      </c>
      <c r="W179" s="139">
        <f>$V$179*$K$179</f>
        <v>11.25</v>
      </c>
      <c r="X179" s="139">
        <v>1.149E-2</v>
      </c>
      <c r="Y179" s="139">
        <f>$X$179*$K$179</f>
        <v>0.17235</v>
      </c>
      <c r="Z179" s="139">
        <v>0</v>
      </c>
      <c r="AA179" s="140">
        <f>$Z$179*$K$179</f>
        <v>0</v>
      </c>
      <c r="AR179" s="6" t="s">
        <v>161</v>
      </c>
      <c r="AT179" s="6" t="s">
        <v>157</v>
      </c>
      <c r="AU179" s="6" t="s">
        <v>102</v>
      </c>
      <c r="AY179" s="6" t="s">
        <v>156</v>
      </c>
      <c r="BE179" s="88">
        <f>IF($U$179="základní",$N$179,0)</f>
        <v>0</v>
      </c>
      <c r="BF179" s="88">
        <f>IF($U$179="snížená",$N$179,0)</f>
        <v>0</v>
      </c>
      <c r="BG179" s="88">
        <f>IF($U$179="zákl. přenesená",$N$179,0)</f>
        <v>0</v>
      </c>
      <c r="BH179" s="88">
        <f>IF($U$179="sníž. přenesená",$N$179,0)</f>
        <v>0</v>
      </c>
      <c r="BI179" s="88">
        <f>IF($U$179="nulová",$N$179,0)</f>
        <v>0</v>
      </c>
      <c r="BJ179" s="6" t="s">
        <v>17</v>
      </c>
      <c r="BK179" s="88">
        <f>ROUND($L$179*$K$179,2)</f>
        <v>0</v>
      </c>
      <c r="BL179" s="6" t="s">
        <v>161</v>
      </c>
    </row>
    <row r="180" spans="2:64" s="6" customFormat="1" ht="27" customHeight="1" x14ac:dyDescent="0.3">
      <c r="B180" s="22"/>
      <c r="C180" s="134" t="s">
        <v>261</v>
      </c>
      <c r="D180" s="134" t="s">
        <v>157</v>
      </c>
      <c r="E180" s="135" t="s">
        <v>262</v>
      </c>
      <c r="F180" s="205" t="s">
        <v>263</v>
      </c>
      <c r="G180" s="202"/>
      <c r="H180" s="202"/>
      <c r="I180" s="202"/>
      <c r="J180" s="136" t="s">
        <v>254</v>
      </c>
      <c r="K180" s="137">
        <v>15</v>
      </c>
      <c r="L180" s="201">
        <v>0</v>
      </c>
      <c r="M180" s="202"/>
      <c r="N180" s="203">
        <f>ROUND($L$180*$K$180,2)</f>
        <v>0</v>
      </c>
      <c r="O180" s="202"/>
      <c r="P180" s="202"/>
      <c r="Q180" s="202"/>
      <c r="R180" s="24"/>
      <c r="T180" s="138"/>
      <c r="U180" s="30" t="s">
        <v>37</v>
      </c>
      <c r="V180" s="139">
        <v>0.22700000000000001</v>
      </c>
      <c r="W180" s="139">
        <f>$V$180*$K$180</f>
        <v>3.4050000000000002</v>
      </c>
      <c r="X180" s="139">
        <v>0</v>
      </c>
      <c r="Y180" s="139">
        <f>$X$180*$K$180</f>
        <v>0</v>
      </c>
      <c r="Z180" s="139">
        <v>1.107E-2</v>
      </c>
      <c r="AA180" s="140">
        <f>$Z$180*$K$180</f>
        <v>0.16605</v>
      </c>
      <c r="AR180" s="6" t="s">
        <v>161</v>
      </c>
      <c r="AT180" s="6" t="s">
        <v>157</v>
      </c>
      <c r="AU180" s="6" t="s">
        <v>102</v>
      </c>
      <c r="AY180" s="6" t="s">
        <v>156</v>
      </c>
      <c r="BE180" s="88">
        <f>IF($U$180="základní",$N$180,0)</f>
        <v>0</v>
      </c>
      <c r="BF180" s="88">
        <f>IF($U$180="snížená",$N$180,0)</f>
        <v>0</v>
      </c>
      <c r="BG180" s="88">
        <f>IF($U$180="zákl. přenesená",$N$180,0)</f>
        <v>0</v>
      </c>
      <c r="BH180" s="88">
        <f>IF($U$180="sníž. přenesená",$N$180,0)</f>
        <v>0</v>
      </c>
      <c r="BI180" s="88">
        <f>IF($U$180="nulová",$N$180,0)</f>
        <v>0</v>
      </c>
      <c r="BJ180" s="6" t="s">
        <v>17</v>
      </c>
      <c r="BK180" s="88">
        <f>ROUND($L$180*$K$180,2)</f>
        <v>0</v>
      </c>
      <c r="BL180" s="6" t="s">
        <v>161</v>
      </c>
    </row>
    <row r="181" spans="2:64" s="6" customFormat="1" ht="27" customHeight="1" x14ac:dyDescent="0.3">
      <c r="B181" s="22"/>
      <c r="C181" s="134" t="s">
        <v>264</v>
      </c>
      <c r="D181" s="134" t="s">
        <v>157</v>
      </c>
      <c r="E181" s="135" t="s">
        <v>265</v>
      </c>
      <c r="F181" s="205" t="s">
        <v>266</v>
      </c>
      <c r="G181" s="202"/>
      <c r="H181" s="202"/>
      <c r="I181" s="202"/>
      <c r="J181" s="136" t="s">
        <v>254</v>
      </c>
      <c r="K181" s="137">
        <v>26</v>
      </c>
      <c r="L181" s="201">
        <v>0</v>
      </c>
      <c r="M181" s="202"/>
      <c r="N181" s="203">
        <f>ROUND($L$181*$K$181,2)</f>
        <v>0</v>
      </c>
      <c r="O181" s="202"/>
      <c r="P181" s="202"/>
      <c r="Q181" s="202"/>
      <c r="R181" s="24"/>
      <c r="T181" s="138"/>
      <c r="U181" s="30" t="s">
        <v>37</v>
      </c>
      <c r="V181" s="139">
        <v>0.36199999999999999</v>
      </c>
      <c r="W181" s="139">
        <f>$V$181*$K$181</f>
        <v>9.411999999999999</v>
      </c>
      <c r="X181" s="139">
        <v>0</v>
      </c>
      <c r="Y181" s="139">
        <f>$X$181*$K$181</f>
        <v>0</v>
      </c>
      <c r="Z181" s="139">
        <v>1.9460000000000002E-2</v>
      </c>
      <c r="AA181" s="140">
        <f>$Z$181*$K$181</f>
        <v>0.50596000000000008</v>
      </c>
      <c r="AR181" s="6" t="s">
        <v>161</v>
      </c>
      <c r="AT181" s="6" t="s">
        <v>157</v>
      </c>
      <c r="AU181" s="6" t="s">
        <v>102</v>
      </c>
      <c r="AY181" s="6" t="s">
        <v>156</v>
      </c>
      <c r="BE181" s="88">
        <f>IF($U$181="základní",$N$181,0)</f>
        <v>0</v>
      </c>
      <c r="BF181" s="88">
        <f>IF($U$181="snížená",$N$181,0)</f>
        <v>0</v>
      </c>
      <c r="BG181" s="88">
        <f>IF($U$181="zákl. přenesená",$N$181,0)</f>
        <v>0</v>
      </c>
      <c r="BH181" s="88">
        <f>IF($U$181="sníž. přenesená",$N$181,0)</f>
        <v>0</v>
      </c>
      <c r="BI181" s="88">
        <f>IF($U$181="nulová",$N$181,0)</f>
        <v>0</v>
      </c>
      <c r="BJ181" s="6" t="s">
        <v>17</v>
      </c>
      <c r="BK181" s="88">
        <f>ROUND($L$181*$K$181,2)</f>
        <v>0</v>
      </c>
      <c r="BL181" s="6" t="s">
        <v>161</v>
      </c>
    </row>
    <row r="182" spans="2:64" s="6" customFormat="1" ht="27" customHeight="1" x14ac:dyDescent="0.3">
      <c r="B182" s="22"/>
      <c r="C182" s="134" t="s">
        <v>267</v>
      </c>
      <c r="D182" s="134" t="s">
        <v>157</v>
      </c>
      <c r="E182" s="135" t="s">
        <v>268</v>
      </c>
      <c r="F182" s="205" t="s">
        <v>269</v>
      </c>
      <c r="G182" s="202"/>
      <c r="H182" s="202"/>
      <c r="I182" s="202"/>
      <c r="J182" s="136" t="s">
        <v>254</v>
      </c>
      <c r="K182" s="137">
        <v>26</v>
      </c>
      <c r="L182" s="201">
        <v>0</v>
      </c>
      <c r="M182" s="202"/>
      <c r="N182" s="203">
        <f>ROUND($L$182*$K$182,2)</f>
        <v>0</v>
      </c>
      <c r="O182" s="202"/>
      <c r="P182" s="202"/>
      <c r="Q182" s="202"/>
      <c r="R182" s="24"/>
      <c r="T182" s="138"/>
      <c r="U182" s="30" t="s">
        <v>37</v>
      </c>
      <c r="V182" s="139">
        <v>1.1000000000000001</v>
      </c>
      <c r="W182" s="139">
        <f>$V$182*$K$182</f>
        <v>28.6</v>
      </c>
      <c r="X182" s="139">
        <v>1.8079999999999999E-2</v>
      </c>
      <c r="Y182" s="139">
        <f>$X$182*$K$182</f>
        <v>0.47007999999999994</v>
      </c>
      <c r="Z182" s="139">
        <v>0</v>
      </c>
      <c r="AA182" s="140">
        <f>$Z$182*$K$182</f>
        <v>0</v>
      </c>
      <c r="AR182" s="6" t="s">
        <v>161</v>
      </c>
      <c r="AT182" s="6" t="s">
        <v>157</v>
      </c>
      <c r="AU182" s="6" t="s">
        <v>102</v>
      </c>
      <c r="AY182" s="6" t="s">
        <v>156</v>
      </c>
      <c r="BE182" s="88">
        <f>IF($U$182="základní",$N$182,0)</f>
        <v>0</v>
      </c>
      <c r="BF182" s="88">
        <f>IF($U$182="snížená",$N$182,0)</f>
        <v>0</v>
      </c>
      <c r="BG182" s="88">
        <f>IF($U$182="zákl. přenesená",$N$182,0)</f>
        <v>0</v>
      </c>
      <c r="BH182" s="88">
        <f>IF($U$182="sníž. přenesená",$N$182,0)</f>
        <v>0</v>
      </c>
      <c r="BI182" s="88">
        <f>IF($U$182="nulová",$N$182,0)</f>
        <v>0</v>
      </c>
      <c r="BJ182" s="6" t="s">
        <v>17</v>
      </c>
      <c r="BK182" s="88">
        <f>ROUND($L$182*$K$182,2)</f>
        <v>0</v>
      </c>
      <c r="BL182" s="6" t="s">
        <v>161</v>
      </c>
    </row>
    <row r="183" spans="2:64" s="6" customFormat="1" ht="27" customHeight="1" x14ac:dyDescent="0.3">
      <c r="B183" s="22"/>
      <c r="C183" s="134" t="s">
        <v>270</v>
      </c>
      <c r="D183" s="134" t="s">
        <v>157</v>
      </c>
      <c r="E183" s="135" t="s">
        <v>271</v>
      </c>
      <c r="F183" s="205" t="s">
        <v>272</v>
      </c>
      <c r="G183" s="202"/>
      <c r="H183" s="202"/>
      <c r="I183" s="202"/>
      <c r="J183" s="136" t="s">
        <v>254</v>
      </c>
      <c r="K183" s="137">
        <v>2</v>
      </c>
      <c r="L183" s="201">
        <v>0</v>
      </c>
      <c r="M183" s="202"/>
      <c r="N183" s="203">
        <f>ROUND($L$183*$K$183,2)</f>
        <v>0</v>
      </c>
      <c r="O183" s="202"/>
      <c r="P183" s="202"/>
      <c r="Q183" s="202"/>
      <c r="R183" s="24"/>
      <c r="T183" s="138"/>
      <c r="U183" s="30" t="s">
        <v>37</v>
      </c>
      <c r="V183" s="139">
        <v>1.4</v>
      </c>
      <c r="W183" s="139">
        <f>$V$183*$K$183</f>
        <v>2.8</v>
      </c>
      <c r="X183" s="139">
        <v>1.745E-2</v>
      </c>
      <c r="Y183" s="139">
        <f>$X$183*$K$183</f>
        <v>3.49E-2</v>
      </c>
      <c r="Z183" s="139">
        <v>0</v>
      </c>
      <c r="AA183" s="140">
        <f>$Z$183*$K$183</f>
        <v>0</v>
      </c>
      <c r="AR183" s="6" t="s">
        <v>161</v>
      </c>
      <c r="AT183" s="6" t="s">
        <v>157</v>
      </c>
      <c r="AU183" s="6" t="s">
        <v>102</v>
      </c>
      <c r="AY183" s="6" t="s">
        <v>156</v>
      </c>
      <c r="BE183" s="88">
        <f>IF($U$183="základní",$N$183,0)</f>
        <v>0</v>
      </c>
      <c r="BF183" s="88">
        <f>IF($U$183="snížená",$N$183,0)</f>
        <v>0</v>
      </c>
      <c r="BG183" s="88">
        <f>IF($U$183="zákl. přenesená",$N$183,0)</f>
        <v>0</v>
      </c>
      <c r="BH183" s="88">
        <f>IF($U$183="sníž. přenesená",$N$183,0)</f>
        <v>0</v>
      </c>
      <c r="BI183" s="88">
        <f>IF($U$183="nulová",$N$183,0)</f>
        <v>0</v>
      </c>
      <c r="BJ183" s="6" t="s">
        <v>17</v>
      </c>
      <c r="BK183" s="88">
        <f>ROUND($L$183*$K$183,2)</f>
        <v>0</v>
      </c>
      <c r="BL183" s="6" t="s">
        <v>161</v>
      </c>
    </row>
    <row r="184" spans="2:64" s="6" customFormat="1" ht="27" customHeight="1" x14ac:dyDescent="0.3">
      <c r="B184" s="22"/>
      <c r="C184" s="134" t="s">
        <v>273</v>
      </c>
      <c r="D184" s="134" t="s">
        <v>157</v>
      </c>
      <c r="E184" s="135" t="s">
        <v>274</v>
      </c>
      <c r="F184" s="205" t="s">
        <v>275</v>
      </c>
      <c r="G184" s="202"/>
      <c r="H184" s="202"/>
      <c r="I184" s="202"/>
      <c r="J184" s="136" t="s">
        <v>254</v>
      </c>
      <c r="K184" s="137">
        <v>8</v>
      </c>
      <c r="L184" s="201">
        <v>0</v>
      </c>
      <c r="M184" s="202"/>
      <c r="N184" s="203">
        <f>ROUND($L$184*$K$184,2)</f>
        <v>0</v>
      </c>
      <c r="O184" s="202"/>
      <c r="P184" s="202"/>
      <c r="Q184" s="202"/>
      <c r="R184" s="24"/>
      <c r="T184" s="138"/>
      <c r="U184" s="30" t="s">
        <v>37</v>
      </c>
      <c r="V184" s="139">
        <v>0.33</v>
      </c>
      <c r="W184" s="139">
        <f>$V$184*$K$184</f>
        <v>2.64</v>
      </c>
      <c r="X184" s="139">
        <v>5.1999999999999995E-4</v>
      </c>
      <c r="Y184" s="139">
        <f>$X$184*$K$184</f>
        <v>4.1599999999999996E-3</v>
      </c>
      <c r="Z184" s="139">
        <v>0</v>
      </c>
      <c r="AA184" s="140">
        <f>$Z$184*$K$184</f>
        <v>0</v>
      </c>
      <c r="AR184" s="6" t="s">
        <v>161</v>
      </c>
      <c r="AT184" s="6" t="s">
        <v>157</v>
      </c>
      <c r="AU184" s="6" t="s">
        <v>102</v>
      </c>
      <c r="AY184" s="6" t="s">
        <v>156</v>
      </c>
      <c r="BE184" s="88">
        <f>IF($U$184="základní",$N$184,0)</f>
        <v>0</v>
      </c>
      <c r="BF184" s="88">
        <f>IF($U$184="snížená",$N$184,0)</f>
        <v>0</v>
      </c>
      <c r="BG184" s="88">
        <f>IF($U$184="zákl. přenesená",$N$184,0)</f>
        <v>0</v>
      </c>
      <c r="BH184" s="88">
        <f>IF($U$184="sníž. přenesená",$N$184,0)</f>
        <v>0</v>
      </c>
      <c r="BI184" s="88">
        <f>IF($U$184="nulová",$N$184,0)</f>
        <v>0</v>
      </c>
      <c r="BJ184" s="6" t="s">
        <v>17</v>
      </c>
      <c r="BK184" s="88">
        <f>ROUND($L$184*$K$184,2)</f>
        <v>0</v>
      </c>
      <c r="BL184" s="6" t="s">
        <v>161</v>
      </c>
    </row>
    <row r="185" spans="2:64" s="6" customFormat="1" ht="27" customHeight="1" x14ac:dyDescent="0.3">
      <c r="B185" s="22"/>
      <c r="C185" s="134" t="s">
        <v>276</v>
      </c>
      <c r="D185" s="134" t="s">
        <v>157</v>
      </c>
      <c r="E185" s="135" t="s">
        <v>277</v>
      </c>
      <c r="F185" s="205" t="s">
        <v>278</v>
      </c>
      <c r="G185" s="202"/>
      <c r="H185" s="202"/>
      <c r="I185" s="202"/>
      <c r="J185" s="136" t="s">
        <v>254</v>
      </c>
      <c r="K185" s="137">
        <v>8</v>
      </c>
      <c r="L185" s="201">
        <v>0</v>
      </c>
      <c r="M185" s="202"/>
      <c r="N185" s="203">
        <f>ROUND($L$185*$K$185,2)</f>
        <v>0</v>
      </c>
      <c r="O185" s="202"/>
      <c r="P185" s="202"/>
      <c r="Q185" s="202"/>
      <c r="R185" s="24"/>
      <c r="T185" s="138"/>
      <c r="U185" s="30" t="s">
        <v>37</v>
      </c>
      <c r="V185" s="139">
        <v>0.33</v>
      </c>
      <c r="W185" s="139">
        <f>$V$185*$K$185</f>
        <v>2.64</v>
      </c>
      <c r="X185" s="139">
        <v>5.1999999999999995E-4</v>
      </c>
      <c r="Y185" s="139">
        <f>$X$185*$K$185</f>
        <v>4.1599999999999996E-3</v>
      </c>
      <c r="Z185" s="139">
        <v>0</v>
      </c>
      <c r="AA185" s="140">
        <f>$Z$185*$K$185</f>
        <v>0</v>
      </c>
      <c r="AR185" s="6" t="s">
        <v>161</v>
      </c>
      <c r="AT185" s="6" t="s">
        <v>157</v>
      </c>
      <c r="AU185" s="6" t="s">
        <v>102</v>
      </c>
      <c r="AY185" s="6" t="s">
        <v>156</v>
      </c>
      <c r="BE185" s="88">
        <f>IF($U$185="základní",$N$185,0)</f>
        <v>0</v>
      </c>
      <c r="BF185" s="88">
        <f>IF($U$185="snížená",$N$185,0)</f>
        <v>0</v>
      </c>
      <c r="BG185" s="88">
        <f>IF($U$185="zákl. přenesená",$N$185,0)</f>
        <v>0</v>
      </c>
      <c r="BH185" s="88">
        <f>IF($U$185="sníž. přenesená",$N$185,0)</f>
        <v>0</v>
      </c>
      <c r="BI185" s="88">
        <f>IF($U$185="nulová",$N$185,0)</f>
        <v>0</v>
      </c>
      <c r="BJ185" s="6" t="s">
        <v>17</v>
      </c>
      <c r="BK185" s="88">
        <f>ROUND($L$185*$K$185,2)</f>
        <v>0</v>
      </c>
      <c r="BL185" s="6" t="s">
        <v>161</v>
      </c>
    </row>
    <row r="186" spans="2:64" s="6" customFormat="1" ht="27" customHeight="1" x14ac:dyDescent="0.3">
      <c r="B186" s="22"/>
      <c r="C186" s="134" t="s">
        <v>279</v>
      </c>
      <c r="D186" s="134" t="s">
        <v>157</v>
      </c>
      <c r="E186" s="135" t="s">
        <v>280</v>
      </c>
      <c r="F186" s="205" t="s">
        <v>281</v>
      </c>
      <c r="G186" s="202"/>
      <c r="H186" s="202"/>
      <c r="I186" s="202"/>
      <c r="J186" s="136" t="s">
        <v>254</v>
      </c>
      <c r="K186" s="137">
        <v>8</v>
      </c>
      <c r="L186" s="201">
        <v>0</v>
      </c>
      <c r="M186" s="202"/>
      <c r="N186" s="203">
        <f>ROUND($L$186*$K$186,2)</f>
        <v>0</v>
      </c>
      <c r="O186" s="202"/>
      <c r="P186" s="202"/>
      <c r="Q186" s="202"/>
      <c r="R186" s="24"/>
      <c r="T186" s="138"/>
      <c r="U186" s="30" t="s">
        <v>37</v>
      </c>
      <c r="V186" s="139">
        <v>0.33</v>
      </c>
      <c r="W186" s="139">
        <f>$V$186*$K$186</f>
        <v>2.64</v>
      </c>
      <c r="X186" s="139">
        <v>5.1999999999999995E-4</v>
      </c>
      <c r="Y186" s="139">
        <f>$X$186*$K$186</f>
        <v>4.1599999999999996E-3</v>
      </c>
      <c r="Z186" s="139">
        <v>0</v>
      </c>
      <c r="AA186" s="140">
        <f>$Z$186*$K$186</f>
        <v>0</v>
      </c>
      <c r="AR186" s="6" t="s">
        <v>161</v>
      </c>
      <c r="AT186" s="6" t="s">
        <v>157</v>
      </c>
      <c r="AU186" s="6" t="s">
        <v>102</v>
      </c>
      <c r="AY186" s="6" t="s">
        <v>156</v>
      </c>
      <c r="BE186" s="88">
        <f>IF($U$186="základní",$N$186,0)</f>
        <v>0</v>
      </c>
      <c r="BF186" s="88">
        <f>IF($U$186="snížená",$N$186,0)</f>
        <v>0</v>
      </c>
      <c r="BG186" s="88">
        <f>IF($U$186="zákl. přenesená",$N$186,0)</f>
        <v>0</v>
      </c>
      <c r="BH186" s="88">
        <f>IF($U$186="sníž. přenesená",$N$186,0)</f>
        <v>0</v>
      </c>
      <c r="BI186" s="88">
        <f>IF($U$186="nulová",$N$186,0)</f>
        <v>0</v>
      </c>
      <c r="BJ186" s="6" t="s">
        <v>17</v>
      </c>
      <c r="BK186" s="88">
        <f>ROUND($L$186*$K$186,2)</f>
        <v>0</v>
      </c>
      <c r="BL186" s="6" t="s">
        <v>161</v>
      </c>
    </row>
    <row r="187" spans="2:64" s="6" customFormat="1" ht="15.75" customHeight="1" x14ac:dyDescent="0.3">
      <c r="B187" s="22"/>
      <c r="C187" s="134" t="s">
        <v>282</v>
      </c>
      <c r="D187" s="134" t="s">
        <v>157</v>
      </c>
      <c r="E187" s="135" t="s">
        <v>283</v>
      </c>
      <c r="F187" s="205" t="s">
        <v>284</v>
      </c>
      <c r="G187" s="202"/>
      <c r="H187" s="202"/>
      <c r="I187" s="202"/>
      <c r="J187" s="136" t="s">
        <v>254</v>
      </c>
      <c r="K187" s="137">
        <v>11</v>
      </c>
      <c r="L187" s="201">
        <v>0</v>
      </c>
      <c r="M187" s="202"/>
      <c r="N187" s="203">
        <f>ROUND($L$187*$K$187,2)</f>
        <v>0</v>
      </c>
      <c r="O187" s="202"/>
      <c r="P187" s="202"/>
      <c r="Q187" s="202"/>
      <c r="R187" s="24"/>
      <c r="T187" s="138"/>
      <c r="U187" s="30" t="s">
        <v>37</v>
      </c>
      <c r="V187" s="139">
        <v>0.25</v>
      </c>
      <c r="W187" s="139">
        <f>$V$187*$K$187</f>
        <v>2.75</v>
      </c>
      <c r="X187" s="139">
        <v>5.0000000000000001E-4</v>
      </c>
      <c r="Y187" s="139">
        <f>$X$187*$K$187</f>
        <v>5.4999999999999997E-3</v>
      </c>
      <c r="Z187" s="139">
        <v>0</v>
      </c>
      <c r="AA187" s="140">
        <f>$Z$187*$K$187</f>
        <v>0</v>
      </c>
      <c r="AR187" s="6" t="s">
        <v>161</v>
      </c>
      <c r="AT187" s="6" t="s">
        <v>157</v>
      </c>
      <c r="AU187" s="6" t="s">
        <v>102</v>
      </c>
      <c r="AY187" s="6" t="s">
        <v>156</v>
      </c>
      <c r="BE187" s="88">
        <f>IF($U$187="základní",$N$187,0)</f>
        <v>0</v>
      </c>
      <c r="BF187" s="88">
        <f>IF($U$187="snížená",$N$187,0)</f>
        <v>0</v>
      </c>
      <c r="BG187" s="88">
        <f>IF($U$187="zákl. přenesená",$N$187,0)</f>
        <v>0</v>
      </c>
      <c r="BH187" s="88">
        <f>IF($U$187="sníž. přenesená",$N$187,0)</f>
        <v>0</v>
      </c>
      <c r="BI187" s="88">
        <f>IF($U$187="nulová",$N$187,0)</f>
        <v>0</v>
      </c>
      <c r="BJ187" s="6" t="s">
        <v>17</v>
      </c>
      <c r="BK187" s="88">
        <f>ROUND($L$187*$K$187,2)</f>
        <v>0</v>
      </c>
      <c r="BL187" s="6" t="s">
        <v>161</v>
      </c>
    </row>
    <row r="188" spans="2:64" s="6" customFormat="1" ht="27" customHeight="1" x14ac:dyDescent="0.3">
      <c r="B188" s="22"/>
      <c r="C188" s="134" t="s">
        <v>285</v>
      </c>
      <c r="D188" s="134" t="s">
        <v>157</v>
      </c>
      <c r="E188" s="135" t="s">
        <v>286</v>
      </c>
      <c r="F188" s="205" t="s">
        <v>287</v>
      </c>
      <c r="G188" s="202"/>
      <c r="H188" s="202"/>
      <c r="I188" s="202"/>
      <c r="J188" s="136" t="s">
        <v>254</v>
      </c>
      <c r="K188" s="137">
        <v>20</v>
      </c>
      <c r="L188" s="201">
        <v>0</v>
      </c>
      <c r="M188" s="202"/>
      <c r="N188" s="203">
        <f>ROUND($L$188*$K$188,2)</f>
        <v>0</v>
      </c>
      <c r="O188" s="202"/>
      <c r="P188" s="202"/>
      <c r="Q188" s="202"/>
      <c r="R188" s="24"/>
      <c r="T188" s="138"/>
      <c r="U188" s="30" t="s">
        <v>37</v>
      </c>
      <c r="V188" s="139">
        <v>0.33</v>
      </c>
      <c r="W188" s="139">
        <f>$V$188*$K$188</f>
        <v>6.6000000000000005</v>
      </c>
      <c r="X188" s="139">
        <v>1.0200000000000001E-3</v>
      </c>
      <c r="Y188" s="139">
        <f>$X$188*$K$188</f>
        <v>2.0400000000000001E-2</v>
      </c>
      <c r="Z188" s="139">
        <v>0</v>
      </c>
      <c r="AA188" s="140">
        <f>$Z$188*$K$188</f>
        <v>0</v>
      </c>
      <c r="AR188" s="6" t="s">
        <v>161</v>
      </c>
      <c r="AT188" s="6" t="s">
        <v>157</v>
      </c>
      <c r="AU188" s="6" t="s">
        <v>102</v>
      </c>
      <c r="AY188" s="6" t="s">
        <v>156</v>
      </c>
      <c r="BE188" s="88">
        <f>IF($U$188="základní",$N$188,0)</f>
        <v>0</v>
      </c>
      <c r="BF188" s="88">
        <f>IF($U$188="snížená",$N$188,0)</f>
        <v>0</v>
      </c>
      <c r="BG188" s="88">
        <f>IF($U$188="zákl. přenesená",$N$188,0)</f>
        <v>0</v>
      </c>
      <c r="BH188" s="88">
        <f>IF($U$188="sníž. přenesená",$N$188,0)</f>
        <v>0</v>
      </c>
      <c r="BI188" s="88">
        <f>IF($U$188="nulová",$N$188,0)</f>
        <v>0</v>
      </c>
      <c r="BJ188" s="6" t="s">
        <v>17</v>
      </c>
      <c r="BK188" s="88">
        <f>ROUND($L$188*$K$188,2)</f>
        <v>0</v>
      </c>
      <c r="BL188" s="6" t="s">
        <v>161</v>
      </c>
    </row>
    <row r="189" spans="2:64" s="6" customFormat="1" ht="15.75" customHeight="1" x14ac:dyDescent="0.3">
      <c r="B189" s="22"/>
      <c r="C189" s="134" t="s">
        <v>288</v>
      </c>
      <c r="D189" s="134" t="s">
        <v>157</v>
      </c>
      <c r="E189" s="135" t="s">
        <v>289</v>
      </c>
      <c r="F189" s="205" t="s">
        <v>290</v>
      </c>
      <c r="G189" s="202"/>
      <c r="H189" s="202"/>
      <c r="I189" s="202"/>
      <c r="J189" s="136" t="s">
        <v>254</v>
      </c>
      <c r="K189" s="137">
        <v>26</v>
      </c>
      <c r="L189" s="201">
        <v>0</v>
      </c>
      <c r="M189" s="202"/>
      <c r="N189" s="203">
        <f>ROUND($L$189*$K$189,2)</f>
        <v>0</v>
      </c>
      <c r="O189" s="202"/>
      <c r="P189" s="202"/>
      <c r="Q189" s="202"/>
      <c r="R189" s="24"/>
      <c r="T189" s="138"/>
      <c r="U189" s="30" t="s">
        <v>37</v>
      </c>
      <c r="V189" s="139">
        <v>0.25</v>
      </c>
      <c r="W189" s="139">
        <f>$V$189*$K$189</f>
        <v>6.5</v>
      </c>
      <c r="X189" s="139">
        <v>5.0000000000000001E-4</v>
      </c>
      <c r="Y189" s="139">
        <f>$X$189*$K$189</f>
        <v>1.3000000000000001E-2</v>
      </c>
      <c r="Z189" s="139">
        <v>0</v>
      </c>
      <c r="AA189" s="140">
        <f>$Z$189*$K$189</f>
        <v>0</v>
      </c>
      <c r="AR189" s="6" t="s">
        <v>161</v>
      </c>
      <c r="AT189" s="6" t="s">
        <v>157</v>
      </c>
      <c r="AU189" s="6" t="s">
        <v>102</v>
      </c>
      <c r="AY189" s="6" t="s">
        <v>156</v>
      </c>
      <c r="BE189" s="88">
        <f>IF($U$189="základní",$N$189,0)</f>
        <v>0</v>
      </c>
      <c r="BF189" s="88">
        <f>IF($U$189="snížená",$N$189,0)</f>
        <v>0</v>
      </c>
      <c r="BG189" s="88">
        <f>IF($U$189="zákl. přenesená",$N$189,0)</f>
        <v>0</v>
      </c>
      <c r="BH189" s="88">
        <f>IF($U$189="sníž. přenesená",$N$189,0)</f>
        <v>0</v>
      </c>
      <c r="BI189" s="88">
        <f>IF($U$189="nulová",$N$189,0)</f>
        <v>0</v>
      </c>
      <c r="BJ189" s="6" t="s">
        <v>17</v>
      </c>
      <c r="BK189" s="88">
        <f>ROUND($L$189*$K$189,2)</f>
        <v>0</v>
      </c>
      <c r="BL189" s="6" t="s">
        <v>161</v>
      </c>
    </row>
    <row r="190" spans="2:64" s="6" customFormat="1" ht="39" customHeight="1" x14ac:dyDescent="0.3">
      <c r="B190" s="22"/>
      <c r="C190" s="134" t="s">
        <v>291</v>
      </c>
      <c r="D190" s="134" t="s">
        <v>157</v>
      </c>
      <c r="E190" s="135" t="s">
        <v>292</v>
      </c>
      <c r="F190" s="205" t="s">
        <v>293</v>
      </c>
      <c r="G190" s="202"/>
      <c r="H190" s="202"/>
      <c r="I190" s="202"/>
      <c r="J190" s="136" t="s">
        <v>254</v>
      </c>
      <c r="K190" s="137">
        <v>2</v>
      </c>
      <c r="L190" s="201">
        <v>0</v>
      </c>
      <c r="M190" s="202"/>
      <c r="N190" s="203">
        <f>ROUND($L$190*$K$190,2)</f>
        <v>0</v>
      </c>
      <c r="O190" s="202"/>
      <c r="P190" s="202"/>
      <c r="Q190" s="202"/>
      <c r="R190" s="24"/>
      <c r="T190" s="138"/>
      <c r="U190" s="30" t="s">
        <v>37</v>
      </c>
      <c r="V190" s="139">
        <v>1.5</v>
      </c>
      <c r="W190" s="139">
        <f>$V$190*$K$190</f>
        <v>3</v>
      </c>
      <c r="X190" s="139">
        <v>1.47E-2</v>
      </c>
      <c r="Y190" s="139">
        <f>$X$190*$K$190</f>
        <v>2.9399999999999999E-2</v>
      </c>
      <c r="Z190" s="139">
        <v>0</v>
      </c>
      <c r="AA190" s="140">
        <f>$Z$190*$K$190</f>
        <v>0</v>
      </c>
      <c r="AR190" s="6" t="s">
        <v>161</v>
      </c>
      <c r="AT190" s="6" t="s">
        <v>157</v>
      </c>
      <c r="AU190" s="6" t="s">
        <v>102</v>
      </c>
      <c r="AY190" s="6" t="s">
        <v>156</v>
      </c>
      <c r="BE190" s="88">
        <f>IF($U$190="základní",$N$190,0)</f>
        <v>0</v>
      </c>
      <c r="BF190" s="88">
        <f>IF($U$190="snížená",$N$190,0)</f>
        <v>0</v>
      </c>
      <c r="BG190" s="88">
        <f>IF($U$190="zákl. přenesená",$N$190,0)</f>
        <v>0</v>
      </c>
      <c r="BH190" s="88">
        <f>IF($U$190="sníž. přenesená",$N$190,0)</f>
        <v>0</v>
      </c>
      <c r="BI190" s="88">
        <f>IF($U$190="nulová",$N$190,0)</f>
        <v>0</v>
      </c>
      <c r="BJ190" s="6" t="s">
        <v>17</v>
      </c>
      <c r="BK190" s="88">
        <f>ROUND($L$190*$K$190,2)</f>
        <v>0</v>
      </c>
      <c r="BL190" s="6" t="s">
        <v>161</v>
      </c>
    </row>
    <row r="191" spans="2:64" s="6" customFormat="1" ht="15.75" customHeight="1" x14ac:dyDescent="0.3">
      <c r="B191" s="22"/>
      <c r="C191" s="134" t="s">
        <v>294</v>
      </c>
      <c r="D191" s="134" t="s">
        <v>157</v>
      </c>
      <c r="E191" s="135" t="s">
        <v>295</v>
      </c>
      <c r="F191" s="205" t="s">
        <v>296</v>
      </c>
      <c r="G191" s="202"/>
      <c r="H191" s="202"/>
      <c r="I191" s="202"/>
      <c r="J191" s="136" t="s">
        <v>254</v>
      </c>
      <c r="K191" s="137">
        <v>52</v>
      </c>
      <c r="L191" s="201">
        <v>0</v>
      </c>
      <c r="M191" s="202"/>
      <c r="N191" s="203">
        <f>ROUND($L$191*$K$191,2)</f>
        <v>0</v>
      </c>
      <c r="O191" s="202"/>
      <c r="P191" s="202"/>
      <c r="Q191" s="202"/>
      <c r="R191" s="24"/>
      <c r="T191" s="138"/>
      <c r="U191" s="30" t="s">
        <v>37</v>
      </c>
      <c r="V191" s="139">
        <v>0.22700000000000001</v>
      </c>
      <c r="W191" s="139">
        <f>$V$191*$K$191</f>
        <v>11.804</v>
      </c>
      <c r="X191" s="139">
        <v>2.9999999999999997E-4</v>
      </c>
      <c r="Y191" s="139">
        <f>$X$191*$K$191</f>
        <v>1.5599999999999999E-2</v>
      </c>
      <c r="Z191" s="139">
        <v>0</v>
      </c>
      <c r="AA191" s="140">
        <f>$Z$191*$K$191</f>
        <v>0</v>
      </c>
      <c r="AR191" s="6" t="s">
        <v>161</v>
      </c>
      <c r="AT191" s="6" t="s">
        <v>157</v>
      </c>
      <c r="AU191" s="6" t="s">
        <v>102</v>
      </c>
      <c r="AY191" s="6" t="s">
        <v>156</v>
      </c>
      <c r="BE191" s="88">
        <f>IF($U$191="základní",$N$191,0)</f>
        <v>0</v>
      </c>
      <c r="BF191" s="88">
        <f>IF($U$191="snížená",$N$191,0)</f>
        <v>0</v>
      </c>
      <c r="BG191" s="88">
        <f>IF($U$191="zákl. přenesená",$N$191,0)</f>
        <v>0</v>
      </c>
      <c r="BH191" s="88">
        <f>IF($U$191="sníž. přenesená",$N$191,0)</f>
        <v>0</v>
      </c>
      <c r="BI191" s="88">
        <f>IF($U$191="nulová",$N$191,0)</f>
        <v>0</v>
      </c>
      <c r="BJ191" s="6" t="s">
        <v>17</v>
      </c>
      <c r="BK191" s="88">
        <f>ROUND($L$191*$K$191,2)</f>
        <v>0</v>
      </c>
      <c r="BL191" s="6" t="s">
        <v>161</v>
      </c>
    </row>
    <row r="192" spans="2:64" s="6" customFormat="1" ht="27" customHeight="1" x14ac:dyDescent="0.3">
      <c r="B192" s="22"/>
      <c r="C192" s="134" t="s">
        <v>297</v>
      </c>
      <c r="D192" s="134" t="s">
        <v>157</v>
      </c>
      <c r="E192" s="135" t="s">
        <v>298</v>
      </c>
      <c r="F192" s="205" t="s">
        <v>299</v>
      </c>
      <c r="G192" s="202"/>
      <c r="H192" s="202"/>
      <c r="I192" s="202"/>
      <c r="J192" s="136" t="s">
        <v>254</v>
      </c>
      <c r="K192" s="137">
        <v>2</v>
      </c>
      <c r="L192" s="201">
        <v>0</v>
      </c>
      <c r="M192" s="202"/>
      <c r="N192" s="203">
        <f>ROUND($L$192*$K$192,2)</f>
        <v>0</v>
      </c>
      <c r="O192" s="202"/>
      <c r="P192" s="202"/>
      <c r="Q192" s="202"/>
      <c r="R192" s="24"/>
      <c r="T192" s="138"/>
      <c r="U192" s="30" t="s">
        <v>37</v>
      </c>
      <c r="V192" s="139">
        <v>0.2</v>
      </c>
      <c r="W192" s="139">
        <f>$V$192*$K$192</f>
        <v>0.4</v>
      </c>
      <c r="X192" s="139">
        <v>1.9599999999999999E-3</v>
      </c>
      <c r="Y192" s="139">
        <f>$X$192*$K$192</f>
        <v>3.9199999999999999E-3</v>
      </c>
      <c r="Z192" s="139">
        <v>0</v>
      </c>
      <c r="AA192" s="140">
        <f>$Z$192*$K$192</f>
        <v>0</v>
      </c>
      <c r="AR192" s="6" t="s">
        <v>161</v>
      </c>
      <c r="AT192" s="6" t="s">
        <v>157</v>
      </c>
      <c r="AU192" s="6" t="s">
        <v>102</v>
      </c>
      <c r="AY192" s="6" t="s">
        <v>156</v>
      </c>
      <c r="BE192" s="88">
        <f>IF($U$192="základní",$N$192,0)</f>
        <v>0</v>
      </c>
      <c r="BF192" s="88">
        <f>IF($U$192="snížená",$N$192,0)</f>
        <v>0</v>
      </c>
      <c r="BG192" s="88">
        <f>IF($U$192="zákl. přenesená",$N$192,0)</f>
        <v>0</v>
      </c>
      <c r="BH192" s="88">
        <f>IF($U$192="sníž. přenesená",$N$192,0)</f>
        <v>0</v>
      </c>
      <c r="BI192" s="88">
        <f>IF($U$192="nulová",$N$192,0)</f>
        <v>0</v>
      </c>
      <c r="BJ192" s="6" t="s">
        <v>17</v>
      </c>
      <c r="BK192" s="88">
        <f>ROUND($L$192*$K$192,2)</f>
        <v>0</v>
      </c>
      <c r="BL192" s="6" t="s">
        <v>161</v>
      </c>
    </row>
    <row r="193" spans="2:64" s="6" customFormat="1" ht="15.75" customHeight="1" x14ac:dyDescent="0.3">
      <c r="B193" s="22"/>
      <c r="C193" s="134" t="s">
        <v>300</v>
      </c>
      <c r="D193" s="134" t="s">
        <v>157</v>
      </c>
      <c r="E193" s="135" t="s">
        <v>301</v>
      </c>
      <c r="F193" s="205" t="s">
        <v>302</v>
      </c>
      <c r="G193" s="202"/>
      <c r="H193" s="202"/>
      <c r="I193" s="202"/>
      <c r="J193" s="136" t="s">
        <v>176</v>
      </c>
      <c r="K193" s="137">
        <v>31</v>
      </c>
      <c r="L193" s="201">
        <v>0</v>
      </c>
      <c r="M193" s="202"/>
      <c r="N193" s="203">
        <f>ROUND($L$193*$K$193,2)</f>
        <v>0</v>
      </c>
      <c r="O193" s="202"/>
      <c r="P193" s="202"/>
      <c r="Q193" s="202"/>
      <c r="R193" s="24"/>
      <c r="T193" s="138"/>
      <c r="U193" s="30" t="s">
        <v>37</v>
      </c>
      <c r="V193" s="139">
        <v>2.1000000000000001E-2</v>
      </c>
      <c r="W193" s="139">
        <f>$V$193*$K$193</f>
        <v>0.65100000000000002</v>
      </c>
      <c r="X193" s="139">
        <v>1.6000000000000001E-4</v>
      </c>
      <c r="Y193" s="139">
        <f>$X$193*$K$193</f>
        <v>4.96E-3</v>
      </c>
      <c r="Z193" s="139">
        <v>0</v>
      </c>
      <c r="AA193" s="140">
        <f>$Z$193*$K$193</f>
        <v>0</v>
      </c>
      <c r="AR193" s="6" t="s">
        <v>161</v>
      </c>
      <c r="AT193" s="6" t="s">
        <v>157</v>
      </c>
      <c r="AU193" s="6" t="s">
        <v>102</v>
      </c>
      <c r="AY193" s="6" t="s">
        <v>156</v>
      </c>
      <c r="BE193" s="88">
        <f>IF($U$193="základní",$N$193,0)</f>
        <v>0</v>
      </c>
      <c r="BF193" s="88">
        <f>IF($U$193="snížená",$N$193,0)</f>
        <v>0</v>
      </c>
      <c r="BG193" s="88">
        <f>IF($U$193="zákl. přenesená",$N$193,0)</f>
        <v>0</v>
      </c>
      <c r="BH193" s="88">
        <f>IF($U$193="sníž. přenesená",$N$193,0)</f>
        <v>0</v>
      </c>
      <c r="BI193" s="88">
        <f>IF($U$193="nulová",$N$193,0)</f>
        <v>0</v>
      </c>
      <c r="BJ193" s="6" t="s">
        <v>17</v>
      </c>
      <c r="BK193" s="88">
        <f>ROUND($L$193*$K$193,2)</f>
        <v>0</v>
      </c>
      <c r="BL193" s="6" t="s">
        <v>161</v>
      </c>
    </row>
    <row r="194" spans="2:64" s="6" customFormat="1" ht="27" customHeight="1" x14ac:dyDescent="0.3">
      <c r="B194" s="22"/>
      <c r="C194" s="134" t="s">
        <v>303</v>
      </c>
      <c r="D194" s="134" t="s">
        <v>157</v>
      </c>
      <c r="E194" s="135" t="s">
        <v>304</v>
      </c>
      <c r="F194" s="205" t="s">
        <v>305</v>
      </c>
      <c r="G194" s="202"/>
      <c r="H194" s="202"/>
      <c r="I194" s="202"/>
      <c r="J194" s="136" t="s">
        <v>204</v>
      </c>
      <c r="K194" s="137">
        <v>1.2569999999999999</v>
      </c>
      <c r="L194" s="201">
        <v>0</v>
      </c>
      <c r="M194" s="202"/>
      <c r="N194" s="203">
        <f>ROUND($L$194*$K$194,2)</f>
        <v>0</v>
      </c>
      <c r="O194" s="202"/>
      <c r="P194" s="202"/>
      <c r="Q194" s="202"/>
      <c r="R194" s="24"/>
      <c r="T194" s="138"/>
      <c r="U194" s="30" t="s">
        <v>37</v>
      </c>
      <c r="V194" s="139">
        <v>1.573</v>
      </c>
      <c r="W194" s="139">
        <f>$V$194*$K$194</f>
        <v>1.9772609999999997</v>
      </c>
      <c r="X194" s="139">
        <v>0</v>
      </c>
      <c r="Y194" s="139">
        <f>$X$194*$K$194</f>
        <v>0</v>
      </c>
      <c r="Z194" s="139">
        <v>0</v>
      </c>
      <c r="AA194" s="140">
        <f>$Z$194*$K$194</f>
        <v>0</v>
      </c>
      <c r="AR194" s="6" t="s">
        <v>161</v>
      </c>
      <c r="AT194" s="6" t="s">
        <v>157</v>
      </c>
      <c r="AU194" s="6" t="s">
        <v>102</v>
      </c>
      <c r="AY194" s="6" t="s">
        <v>156</v>
      </c>
      <c r="BE194" s="88">
        <f>IF($U$194="základní",$N$194,0)</f>
        <v>0</v>
      </c>
      <c r="BF194" s="88">
        <f>IF($U$194="snížená",$N$194,0)</f>
        <v>0</v>
      </c>
      <c r="BG194" s="88">
        <f>IF($U$194="zákl. přenesená",$N$194,0)</f>
        <v>0</v>
      </c>
      <c r="BH194" s="88">
        <f>IF($U$194="sníž. přenesená",$N$194,0)</f>
        <v>0</v>
      </c>
      <c r="BI194" s="88">
        <f>IF($U$194="nulová",$N$194,0)</f>
        <v>0</v>
      </c>
      <c r="BJ194" s="6" t="s">
        <v>17</v>
      </c>
      <c r="BK194" s="88">
        <f>ROUND($L$194*$K$194,2)</f>
        <v>0</v>
      </c>
      <c r="BL194" s="6" t="s">
        <v>161</v>
      </c>
    </row>
    <row r="195" spans="2:64" s="123" customFormat="1" ht="30.75" customHeight="1" x14ac:dyDescent="0.3">
      <c r="B195" s="124"/>
      <c r="C195" s="125"/>
      <c r="D195" s="133" t="s">
        <v>122</v>
      </c>
      <c r="E195" s="125"/>
      <c r="F195" s="125"/>
      <c r="G195" s="125"/>
      <c r="H195" s="125"/>
      <c r="I195" s="125"/>
      <c r="J195" s="125"/>
      <c r="K195" s="125"/>
      <c r="L195" s="125"/>
      <c r="M195" s="125"/>
      <c r="N195" s="195">
        <f>$BK$195</f>
        <v>0</v>
      </c>
      <c r="O195" s="196"/>
      <c r="P195" s="196"/>
      <c r="Q195" s="196"/>
      <c r="R195" s="127"/>
      <c r="T195" s="128"/>
      <c r="U195" s="125"/>
      <c r="V195" s="125"/>
      <c r="W195" s="129">
        <f>$W$196</f>
        <v>4.2839999999999998</v>
      </c>
      <c r="X195" s="125"/>
      <c r="Y195" s="129">
        <f>$Y$196</f>
        <v>0</v>
      </c>
      <c r="Z195" s="125"/>
      <c r="AA195" s="130">
        <f>$AA$196</f>
        <v>0</v>
      </c>
      <c r="AR195" s="131" t="s">
        <v>102</v>
      </c>
      <c r="AT195" s="131" t="s">
        <v>71</v>
      </c>
      <c r="AU195" s="131" t="s">
        <v>17</v>
      </c>
      <c r="AY195" s="131" t="s">
        <v>156</v>
      </c>
      <c r="BK195" s="132">
        <f>$BK$196</f>
        <v>0</v>
      </c>
    </row>
    <row r="196" spans="2:64" s="6" customFormat="1" ht="39" customHeight="1" x14ac:dyDescent="0.3">
      <c r="B196" s="22"/>
      <c r="C196" s="134" t="s">
        <v>306</v>
      </c>
      <c r="D196" s="134" t="s">
        <v>157</v>
      </c>
      <c r="E196" s="135" t="s">
        <v>307</v>
      </c>
      <c r="F196" s="205" t="s">
        <v>308</v>
      </c>
      <c r="G196" s="202"/>
      <c r="H196" s="202"/>
      <c r="I196" s="202"/>
      <c r="J196" s="136" t="s">
        <v>176</v>
      </c>
      <c r="K196" s="137">
        <v>14</v>
      </c>
      <c r="L196" s="201">
        <v>0</v>
      </c>
      <c r="M196" s="202"/>
      <c r="N196" s="203">
        <f>ROUND($L$196*$K$196,2)</f>
        <v>0</v>
      </c>
      <c r="O196" s="202"/>
      <c r="P196" s="202"/>
      <c r="Q196" s="202"/>
      <c r="R196" s="24"/>
      <c r="T196" s="138"/>
      <c r="U196" s="30" t="s">
        <v>37</v>
      </c>
      <c r="V196" s="139">
        <v>0.30599999999999999</v>
      </c>
      <c r="W196" s="139">
        <f>$V$196*$K$196</f>
        <v>4.2839999999999998</v>
      </c>
      <c r="X196" s="139">
        <v>0</v>
      </c>
      <c r="Y196" s="139">
        <f>$X$196*$K$196</f>
        <v>0</v>
      </c>
      <c r="Z196" s="139">
        <v>0</v>
      </c>
      <c r="AA196" s="140">
        <f>$Z$196*$K$196</f>
        <v>0</v>
      </c>
      <c r="AR196" s="6" t="s">
        <v>161</v>
      </c>
      <c r="AT196" s="6" t="s">
        <v>157</v>
      </c>
      <c r="AU196" s="6" t="s">
        <v>102</v>
      </c>
      <c r="AY196" s="6" t="s">
        <v>156</v>
      </c>
      <c r="BE196" s="88">
        <f>IF($U$196="základní",$N$196,0)</f>
        <v>0</v>
      </c>
      <c r="BF196" s="88">
        <f>IF($U$196="snížená",$N$196,0)</f>
        <v>0</v>
      </c>
      <c r="BG196" s="88">
        <f>IF($U$196="zákl. přenesená",$N$196,0)</f>
        <v>0</v>
      </c>
      <c r="BH196" s="88">
        <f>IF($U$196="sníž. přenesená",$N$196,0)</f>
        <v>0</v>
      </c>
      <c r="BI196" s="88">
        <f>IF($U$196="nulová",$N$196,0)</f>
        <v>0</v>
      </c>
      <c r="BJ196" s="6" t="s">
        <v>17</v>
      </c>
      <c r="BK196" s="88">
        <f>ROUND($L$196*$K$196,2)</f>
        <v>0</v>
      </c>
      <c r="BL196" s="6" t="s">
        <v>161</v>
      </c>
    </row>
    <row r="197" spans="2:64" s="123" customFormat="1" ht="30.75" customHeight="1" x14ac:dyDescent="0.3">
      <c r="B197" s="124"/>
      <c r="C197" s="125"/>
      <c r="D197" s="133" t="s">
        <v>123</v>
      </c>
      <c r="E197" s="125"/>
      <c r="F197" s="125"/>
      <c r="G197" s="125"/>
      <c r="H197" s="125"/>
      <c r="I197" s="125"/>
      <c r="J197" s="125"/>
      <c r="K197" s="125"/>
      <c r="L197" s="125"/>
      <c r="M197" s="125"/>
      <c r="N197" s="195">
        <f>$BK$197</f>
        <v>0</v>
      </c>
      <c r="O197" s="196"/>
      <c r="P197" s="196"/>
      <c r="Q197" s="196"/>
      <c r="R197" s="127"/>
      <c r="T197" s="128"/>
      <c r="U197" s="125"/>
      <c r="V197" s="125"/>
      <c r="W197" s="129">
        <f>SUM($W$198:$W$199)</f>
        <v>23.439999999999998</v>
      </c>
      <c r="X197" s="125"/>
      <c r="Y197" s="129">
        <f>SUM($Y$198:$Y$199)</f>
        <v>0.128</v>
      </c>
      <c r="Z197" s="125"/>
      <c r="AA197" s="130">
        <f>SUM($AA$198:$AA$199)</f>
        <v>0</v>
      </c>
      <c r="AR197" s="131" t="s">
        <v>102</v>
      </c>
      <c r="AT197" s="131" t="s">
        <v>71</v>
      </c>
      <c r="AU197" s="131" t="s">
        <v>17</v>
      </c>
      <c r="AY197" s="131" t="s">
        <v>156</v>
      </c>
      <c r="BK197" s="132">
        <f>SUM($BK$198:$BK$199)</f>
        <v>0</v>
      </c>
    </row>
    <row r="198" spans="2:64" s="6" customFormat="1" ht="27" customHeight="1" x14ac:dyDescent="0.3">
      <c r="B198" s="22"/>
      <c r="C198" s="134" t="s">
        <v>309</v>
      </c>
      <c r="D198" s="134" t="s">
        <v>157</v>
      </c>
      <c r="E198" s="135" t="s">
        <v>310</v>
      </c>
      <c r="F198" s="205" t="s">
        <v>311</v>
      </c>
      <c r="G198" s="202"/>
      <c r="H198" s="202"/>
      <c r="I198" s="202"/>
      <c r="J198" s="136" t="s">
        <v>176</v>
      </c>
      <c r="K198" s="137">
        <v>40</v>
      </c>
      <c r="L198" s="201">
        <v>0</v>
      </c>
      <c r="M198" s="202"/>
      <c r="N198" s="203">
        <f>ROUND($L$198*$K$198,2)</f>
        <v>0</v>
      </c>
      <c r="O198" s="202"/>
      <c r="P198" s="202"/>
      <c r="Q198" s="202"/>
      <c r="R198" s="24"/>
      <c r="T198" s="138"/>
      <c r="U198" s="30" t="s">
        <v>37</v>
      </c>
      <c r="V198" s="139">
        <v>0.58599999999999997</v>
      </c>
      <c r="W198" s="139">
        <f>$V$198*$K$198</f>
        <v>23.439999999999998</v>
      </c>
      <c r="X198" s="139">
        <v>0</v>
      </c>
      <c r="Y198" s="139">
        <f>$X$198*$K$198</f>
        <v>0</v>
      </c>
      <c r="Z198" s="139">
        <v>0</v>
      </c>
      <c r="AA198" s="140">
        <f>$Z$198*$K$198</f>
        <v>0</v>
      </c>
      <c r="AR198" s="6" t="s">
        <v>161</v>
      </c>
      <c r="AT198" s="6" t="s">
        <v>157</v>
      </c>
      <c r="AU198" s="6" t="s">
        <v>102</v>
      </c>
      <c r="AY198" s="6" t="s">
        <v>156</v>
      </c>
      <c r="BE198" s="88">
        <f>IF($U$198="základní",$N$198,0)</f>
        <v>0</v>
      </c>
      <c r="BF198" s="88">
        <f>IF($U$198="snížená",$N$198,0)</f>
        <v>0</v>
      </c>
      <c r="BG198" s="88">
        <f>IF($U$198="zákl. přenesená",$N$198,0)</f>
        <v>0</v>
      </c>
      <c r="BH198" s="88">
        <f>IF($U$198="sníž. přenesená",$N$198,0)</f>
        <v>0</v>
      </c>
      <c r="BI198" s="88">
        <f>IF($U$198="nulová",$N$198,0)</f>
        <v>0</v>
      </c>
      <c r="BJ198" s="6" t="s">
        <v>17</v>
      </c>
      <c r="BK198" s="88">
        <f>ROUND($L$198*$K$198,2)</f>
        <v>0</v>
      </c>
      <c r="BL198" s="6" t="s">
        <v>161</v>
      </c>
    </row>
    <row r="199" spans="2:64" s="6" customFormat="1" ht="15.75" customHeight="1" x14ac:dyDescent="0.3">
      <c r="B199" s="22"/>
      <c r="C199" s="141" t="s">
        <v>312</v>
      </c>
      <c r="D199" s="141" t="s">
        <v>313</v>
      </c>
      <c r="E199" s="142" t="s">
        <v>314</v>
      </c>
      <c r="F199" s="206" t="s">
        <v>315</v>
      </c>
      <c r="G199" s="207"/>
      <c r="H199" s="207"/>
      <c r="I199" s="207"/>
      <c r="J199" s="143" t="s">
        <v>176</v>
      </c>
      <c r="K199" s="144">
        <v>40</v>
      </c>
      <c r="L199" s="208">
        <v>0</v>
      </c>
      <c r="M199" s="207"/>
      <c r="N199" s="209">
        <f>ROUND($L$199*$K$199,2)</f>
        <v>0</v>
      </c>
      <c r="O199" s="202"/>
      <c r="P199" s="202"/>
      <c r="Q199" s="202"/>
      <c r="R199" s="24"/>
      <c r="T199" s="138"/>
      <c r="U199" s="30" t="s">
        <v>37</v>
      </c>
      <c r="V199" s="139">
        <v>0</v>
      </c>
      <c r="W199" s="139">
        <f>$V$199*$K$199</f>
        <v>0</v>
      </c>
      <c r="X199" s="139">
        <v>3.2000000000000002E-3</v>
      </c>
      <c r="Y199" s="139">
        <f>$X$199*$K$199</f>
        <v>0.128</v>
      </c>
      <c r="Z199" s="139">
        <v>0</v>
      </c>
      <c r="AA199" s="140">
        <f>$Z$199*$K$199</f>
        <v>0</v>
      </c>
      <c r="AR199" s="6" t="s">
        <v>251</v>
      </c>
      <c r="AT199" s="6" t="s">
        <v>313</v>
      </c>
      <c r="AU199" s="6" t="s">
        <v>102</v>
      </c>
      <c r="AY199" s="6" t="s">
        <v>156</v>
      </c>
      <c r="BE199" s="88">
        <f>IF($U$199="základní",$N$199,0)</f>
        <v>0</v>
      </c>
      <c r="BF199" s="88">
        <f>IF($U$199="snížená",$N$199,0)</f>
        <v>0</v>
      </c>
      <c r="BG199" s="88">
        <f>IF($U$199="zákl. přenesená",$N$199,0)</f>
        <v>0</v>
      </c>
      <c r="BH199" s="88">
        <f>IF($U$199="sníž. přenesená",$N$199,0)</f>
        <v>0</v>
      </c>
      <c r="BI199" s="88">
        <f>IF($U$199="nulová",$N$199,0)</f>
        <v>0</v>
      </c>
      <c r="BJ199" s="6" t="s">
        <v>17</v>
      </c>
      <c r="BK199" s="88">
        <f>ROUND($L$199*$K$199,2)</f>
        <v>0</v>
      </c>
      <c r="BL199" s="6" t="s">
        <v>161</v>
      </c>
    </row>
    <row r="200" spans="2:64" s="123" customFormat="1" ht="30.75" customHeight="1" x14ac:dyDescent="0.3">
      <c r="B200" s="124"/>
      <c r="C200" s="125"/>
      <c r="D200" s="133" t="s">
        <v>124</v>
      </c>
      <c r="E200" s="125"/>
      <c r="F200" s="125"/>
      <c r="G200" s="125"/>
      <c r="H200" s="125"/>
      <c r="I200" s="125"/>
      <c r="J200" s="125"/>
      <c r="K200" s="125"/>
      <c r="L200" s="125"/>
      <c r="M200" s="125"/>
      <c r="N200" s="195">
        <f>$BK$200</f>
        <v>0</v>
      </c>
      <c r="O200" s="196"/>
      <c r="P200" s="196"/>
      <c r="Q200" s="196"/>
      <c r="R200" s="127"/>
      <c r="T200" s="128"/>
      <c r="U200" s="125"/>
      <c r="V200" s="125"/>
      <c r="W200" s="129">
        <f>$W$201</f>
        <v>1.738</v>
      </c>
      <c r="X200" s="125"/>
      <c r="Y200" s="129">
        <f>$Y$201</f>
        <v>0</v>
      </c>
      <c r="Z200" s="125"/>
      <c r="AA200" s="130">
        <f>$AA$201</f>
        <v>0</v>
      </c>
      <c r="AR200" s="131" t="s">
        <v>102</v>
      </c>
      <c r="AT200" s="131" t="s">
        <v>71</v>
      </c>
      <c r="AU200" s="131" t="s">
        <v>17</v>
      </c>
      <c r="AY200" s="131" t="s">
        <v>156</v>
      </c>
      <c r="BK200" s="132">
        <f>$BK$201</f>
        <v>0</v>
      </c>
    </row>
    <row r="201" spans="2:64" s="6" customFormat="1" ht="27" customHeight="1" x14ac:dyDescent="0.3">
      <c r="B201" s="22"/>
      <c r="C201" s="134" t="s">
        <v>316</v>
      </c>
      <c r="D201" s="134" t="s">
        <v>157</v>
      </c>
      <c r="E201" s="135" t="s">
        <v>317</v>
      </c>
      <c r="F201" s="205" t="s">
        <v>318</v>
      </c>
      <c r="G201" s="202"/>
      <c r="H201" s="202"/>
      <c r="I201" s="202"/>
      <c r="J201" s="136" t="s">
        <v>176</v>
      </c>
      <c r="K201" s="137">
        <v>2</v>
      </c>
      <c r="L201" s="201">
        <v>0</v>
      </c>
      <c r="M201" s="202"/>
      <c r="N201" s="203">
        <f>ROUND($L$201*$K$201,2)</f>
        <v>0</v>
      </c>
      <c r="O201" s="202"/>
      <c r="P201" s="202"/>
      <c r="Q201" s="202"/>
      <c r="R201" s="24"/>
      <c r="T201" s="138"/>
      <c r="U201" s="30" t="s">
        <v>37</v>
      </c>
      <c r="V201" s="139">
        <v>0.86899999999999999</v>
      </c>
      <c r="W201" s="139">
        <f>$V$201*$K$201</f>
        <v>1.738</v>
      </c>
      <c r="X201" s="139">
        <v>0</v>
      </c>
      <c r="Y201" s="139">
        <f>$X$201*$K$201</f>
        <v>0</v>
      </c>
      <c r="Z201" s="139">
        <v>0</v>
      </c>
      <c r="AA201" s="140">
        <f>$Z$201*$K$201</f>
        <v>0</v>
      </c>
      <c r="AR201" s="6" t="s">
        <v>161</v>
      </c>
      <c r="AT201" s="6" t="s">
        <v>157</v>
      </c>
      <c r="AU201" s="6" t="s">
        <v>102</v>
      </c>
      <c r="AY201" s="6" t="s">
        <v>156</v>
      </c>
      <c r="BE201" s="88">
        <f>IF($U$201="základní",$N$201,0)</f>
        <v>0</v>
      </c>
      <c r="BF201" s="88">
        <f>IF($U$201="snížená",$N$201,0)</f>
        <v>0</v>
      </c>
      <c r="BG201" s="88">
        <f>IF($U$201="zákl. přenesená",$N$201,0)</f>
        <v>0</v>
      </c>
      <c r="BH201" s="88">
        <f>IF($U$201="sníž. přenesená",$N$201,0)</f>
        <v>0</v>
      </c>
      <c r="BI201" s="88">
        <f>IF($U$201="nulová",$N$201,0)</f>
        <v>0</v>
      </c>
      <c r="BJ201" s="6" t="s">
        <v>17</v>
      </c>
      <c r="BK201" s="88">
        <f>ROUND($L$201*$K$201,2)</f>
        <v>0</v>
      </c>
      <c r="BL201" s="6" t="s">
        <v>161</v>
      </c>
    </row>
    <row r="202" spans="2:64" s="123" customFormat="1" ht="30.75" customHeight="1" x14ac:dyDescent="0.3">
      <c r="B202" s="124"/>
      <c r="C202" s="125"/>
      <c r="D202" s="133" t="s">
        <v>125</v>
      </c>
      <c r="E202" s="125"/>
      <c r="F202" s="125"/>
      <c r="G202" s="125"/>
      <c r="H202" s="125"/>
      <c r="I202" s="125"/>
      <c r="J202" s="125"/>
      <c r="K202" s="125"/>
      <c r="L202" s="125"/>
      <c r="M202" s="125"/>
      <c r="N202" s="195">
        <f>$BK$202</f>
        <v>0</v>
      </c>
      <c r="O202" s="196"/>
      <c r="P202" s="196"/>
      <c r="Q202" s="196"/>
      <c r="R202" s="127"/>
      <c r="T202" s="128"/>
      <c r="U202" s="125"/>
      <c r="V202" s="125"/>
      <c r="W202" s="129">
        <f>SUM($W$203:$W$209)</f>
        <v>77.986142999999998</v>
      </c>
      <c r="X202" s="125"/>
      <c r="Y202" s="129">
        <f>SUM($Y$203:$Y$209)</f>
        <v>1.2830999999999999</v>
      </c>
      <c r="Z202" s="125"/>
      <c r="AA202" s="130">
        <f>SUM($AA$203:$AA$209)</f>
        <v>1.6380000000000002E-2</v>
      </c>
      <c r="AR202" s="131" t="s">
        <v>102</v>
      </c>
      <c r="AT202" s="131" t="s">
        <v>71</v>
      </c>
      <c r="AU202" s="131" t="s">
        <v>17</v>
      </c>
      <c r="AY202" s="131" t="s">
        <v>156</v>
      </c>
      <c r="BK202" s="132">
        <f>SUM($BK$203:$BK$209)</f>
        <v>0</v>
      </c>
    </row>
    <row r="203" spans="2:64" s="6" customFormat="1" ht="27" customHeight="1" x14ac:dyDescent="0.3">
      <c r="B203" s="22"/>
      <c r="C203" s="134" t="s">
        <v>319</v>
      </c>
      <c r="D203" s="134" t="s">
        <v>157</v>
      </c>
      <c r="E203" s="135" t="s">
        <v>320</v>
      </c>
      <c r="F203" s="205" t="s">
        <v>321</v>
      </c>
      <c r="G203" s="202"/>
      <c r="H203" s="202"/>
      <c r="I203" s="202"/>
      <c r="J203" s="136" t="s">
        <v>176</v>
      </c>
      <c r="K203" s="137">
        <v>39</v>
      </c>
      <c r="L203" s="201">
        <v>0</v>
      </c>
      <c r="M203" s="202"/>
      <c r="N203" s="203">
        <f>ROUND($L$203*$K$203,2)</f>
        <v>0</v>
      </c>
      <c r="O203" s="202"/>
      <c r="P203" s="202"/>
      <c r="Q203" s="202"/>
      <c r="R203" s="24"/>
      <c r="T203" s="138"/>
      <c r="U203" s="30" t="s">
        <v>37</v>
      </c>
      <c r="V203" s="139">
        <v>1.825</v>
      </c>
      <c r="W203" s="139">
        <f>$V$203*$K$203</f>
        <v>71.174999999999997</v>
      </c>
      <c r="X203" s="139">
        <v>0</v>
      </c>
      <c r="Y203" s="139">
        <f>$X$203*$K$203</f>
        <v>0</v>
      </c>
      <c r="Z203" s="139">
        <v>0</v>
      </c>
      <c r="AA203" s="140">
        <f>$Z$203*$K$203</f>
        <v>0</v>
      </c>
      <c r="AR203" s="6" t="s">
        <v>161</v>
      </c>
      <c r="AT203" s="6" t="s">
        <v>157</v>
      </c>
      <c r="AU203" s="6" t="s">
        <v>102</v>
      </c>
      <c r="AY203" s="6" t="s">
        <v>156</v>
      </c>
      <c r="BE203" s="88">
        <f>IF($U$203="základní",$N$203,0)</f>
        <v>0</v>
      </c>
      <c r="BF203" s="88">
        <f>IF($U$203="snížená",$N$203,0)</f>
        <v>0</v>
      </c>
      <c r="BG203" s="88">
        <f>IF($U$203="zákl. přenesená",$N$203,0)</f>
        <v>0</v>
      </c>
      <c r="BH203" s="88">
        <f>IF($U$203="sníž. přenesená",$N$203,0)</f>
        <v>0</v>
      </c>
      <c r="BI203" s="88">
        <f>IF($U$203="nulová",$N$203,0)</f>
        <v>0</v>
      </c>
      <c r="BJ203" s="6" t="s">
        <v>17</v>
      </c>
      <c r="BK203" s="88">
        <f>ROUND($L$203*$K$203,2)</f>
        <v>0</v>
      </c>
      <c r="BL203" s="6" t="s">
        <v>161</v>
      </c>
    </row>
    <row r="204" spans="2:64" s="6" customFormat="1" ht="15.75" customHeight="1" x14ac:dyDescent="0.3">
      <c r="B204" s="22"/>
      <c r="C204" s="141" t="s">
        <v>322</v>
      </c>
      <c r="D204" s="141" t="s">
        <v>313</v>
      </c>
      <c r="E204" s="142" t="s">
        <v>323</v>
      </c>
      <c r="F204" s="206" t="s">
        <v>324</v>
      </c>
      <c r="G204" s="207"/>
      <c r="H204" s="207"/>
      <c r="I204" s="207"/>
      <c r="J204" s="143" t="s">
        <v>176</v>
      </c>
      <c r="K204" s="144">
        <v>22</v>
      </c>
      <c r="L204" s="208">
        <v>0</v>
      </c>
      <c r="M204" s="207"/>
      <c r="N204" s="209">
        <f>ROUND($L$204*$K$204,2)</f>
        <v>0</v>
      </c>
      <c r="O204" s="202"/>
      <c r="P204" s="202"/>
      <c r="Q204" s="202"/>
      <c r="R204" s="24"/>
      <c r="T204" s="138"/>
      <c r="U204" s="30" t="s">
        <v>37</v>
      </c>
      <c r="V204" s="139">
        <v>0</v>
      </c>
      <c r="W204" s="139">
        <f>$V$204*$K$204</f>
        <v>0</v>
      </c>
      <c r="X204" s="139">
        <v>1.14E-2</v>
      </c>
      <c r="Y204" s="139">
        <f>$X$204*$K$204</f>
        <v>0.25080000000000002</v>
      </c>
      <c r="Z204" s="139">
        <v>0</v>
      </c>
      <c r="AA204" s="140">
        <f>$Z$204*$K$204</f>
        <v>0</v>
      </c>
      <c r="AR204" s="6" t="s">
        <v>251</v>
      </c>
      <c r="AT204" s="6" t="s">
        <v>313</v>
      </c>
      <c r="AU204" s="6" t="s">
        <v>102</v>
      </c>
      <c r="AY204" s="6" t="s">
        <v>156</v>
      </c>
      <c r="BE204" s="88">
        <f>IF($U$204="základní",$N$204,0)</f>
        <v>0</v>
      </c>
      <c r="BF204" s="88">
        <f>IF($U$204="snížená",$N$204,0)</f>
        <v>0</v>
      </c>
      <c r="BG204" s="88">
        <f>IF($U$204="zákl. přenesená",$N$204,0)</f>
        <v>0</v>
      </c>
      <c r="BH204" s="88">
        <f>IF($U$204="sníž. přenesená",$N$204,0)</f>
        <v>0</v>
      </c>
      <c r="BI204" s="88">
        <f>IF($U$204="nulová",$N$204,0)</f>
        <v>0</v>
      </c>
      <c r="BJ204" s="6" t="s">
        <v>17</v>
      </c>
      <c r="BK204" s="88">
        <f>ROUND($L$204*$K$204,2)</f>
        <v>0</v>
      </c>
      <c r="BL204" s="6" t="s">
        <v>161</v>
      </c>
    </row>
    <row r="205" spans="2:64" s="6" customFormat="1" ht="15.75" customHeight="1" x14ac:dyDescent="0.3">
      <c r="B205" s="22"/>
      <c r="C205" s="141" t="s">
        <v>325</v>
      </c>
      <c r="D205" s="141" t="s">
        <v>313</v>
      </c>
      <c r="E205" s="142" t="s">
        <v>326</v>
      </c>
      <c r="F205" s="206" t="s">
        <v>327</v>
      </c>
      <c r="G205" s="207"/>
      <c r="H205" s="207"/>
      <c r="I205" s="207"/>
      <c r="J205" s="143" t="s">
        <v>176</v>
      </c>
      <c r="K205" s="144">
        <v>17</v>
      </c>
      <c r="L205" s="208">
        <v>0</v>
      </c>
      <c r="M205" s="207"/>
      <c r="N205" s="209">
        <f>ROUND($L$205*$K$205,2)</f>
        <v>0</v>
      </c>
      <c r="O205" s="202"/>
      <c r="P205" s="202"/>
      <c r="Q205" s="202"/>
      <c r="R205" s="24"/>
      <c r="T205" s="138"/>
      <c r="U205" s="30" t="s">
        <v>37</v>
      </c>
      <c r="V205" s="139">
        <v>0</v>
      </c>
      <c r="W205" s="139">
        <f>$V$205*$K$205</f>
        <v>0</v>
      </c>
      <c r="X205" s="139">
        <v>1.14E-2</v>
      </c>
      <c r="Y205" s="139">
        <f>$X$205*$K$205</f>
        <v>0.1938</v>
      </c>
      <c r="Z205" s="139">
        <v>0</v>
      </c>
      <c r="AA205" s="140">
        <f>$Z$205*$K$205</f>
        <v>0</v>
      </c>
      <c r="AR205" s="6" t="s">
        <v>251</v>
      </c>
      <c r="AT205" s="6" t="s">
        <v>313</v>
      </c>
      <c r="AU205" s="6" t="s">
        <v>102</v>
      </c>
      <c r="AY205" s="6" t="s">
        <v>156</v>
      </c>
      <c r="BE205" s="88">
        <f>IF($U$205="základní",$N$205,0)</f>
        <v>0</v>
      </c>
      <c r="BF205" s="88">
        <f>IF($U$205="snížená",$N$205,0)</f>
        <v>0</v>
      </c>
      <c r="BG205" s="88">
        <f>IF($U$205="zákl. přenesená",$N$205,0)</f>
        <v>0</v>
      </c>
      <c r="BH205" s="88">
        <f>IF($U$205="sníž. přenesená",$N$205,0)</f>
        <v>0</v>
      </c>
      <c r="BI205" s="88">
        <f>IF($U$205="nulová",$N$205,0)</f>
        <v>0</v>
      </c>
      <c r="BJ205" s="6" t="s">
        <v>17</v>
      </c>
      <c r="BK205" s="88">
        <f>ROUND($L$205*$K$205,2)</f>
        <v>0</v>
      </c>
      <c r="BL205" s="6" t="s">
        <v>161</v>
      </c>
    </row>
    <row r="206" spans="2:64" s="6" customFormat="1" ht="39" customHeight="1" x14ac:dyDescent="0.3">
      <c r="B206" s="22"/>
      <c r="C206" s="141" t="s">
        <v>328</v>
      </c>
      <c r="D206" s="141" t="s">
        <v>313</v>
      </c>
      <c r="E206" s="142" t="s">
        <v>329</v>
      </c>
      <c r="F206" s="206" t="s">
        <v>330</v>
      </c>
      <c r="G206" s="207"/>
      <c r="H206" s="207"/>
      <c r="I206" s="207"/>
      <c r="J206" s="143" t="s">
        <v>176</v>
      </c>
      <c r="K206" s="144">
        <v>22</v>
      </c>
      <c r="L206" s="208">
        <v>0</v>
      </c>
      <c r="M206" s="207"/>
      <c r="N206" s="209">
        <f>ROUND($L$206*$K$206,2)</f>
        <v>0</v>
      </c>
      <c r="O206" s="202"/>
      <c r="P206" s="202"/>
      <c r="Q206" s="202"/>
      <c r="R206" s="24"/>
      <c r="T206" s="138"/>
      <c r="U206" s="30" t="s">
        <v>37</v>
      </c>
      <c r="V206" s="139">
        <v>0</v>
      </c>
      <c r="W206" s="139">
        <f>$V$206*$K$206</f>
        <v>0</v>
      </c>
      <c r="X206" s="139">
        <v>2.1499999999999998E-2</v>
      </c>
      <c r="Y206" s="139">
        <f>$X$206*$K$206</f>
        <v>0.47299999999999998</v>
      </c>
      <c r="Z206" s="139">
        <v>0</v>
      </c>
      <c r="AA206" s="140">
        <f>$Z$206*$K$206</f>
        <v>0</v>
      </c>
      <c r="AR206" s="6" t="s">
        <v>251</v>
      </c>
      <c r="AT206" s="6" t="s">
        <v>313</v>
      </c>
      <c r="AU206" s="6" t="s">
        <v>102</v>
      </c>
      <c r="AY206" s="6" t="s">
        <v>156</v>
      </c>
      <c r="BE206" s="88">
        <f>IF($U$206="základní",$N$206,0)</f>
        <v>0</v>
      </c>
      <c r="BF206" s="88">
        <f>IF($U$206="snížená",$N$206,0)</f>
        <v>0</v>
      </c>
      <c r="BG206" s="88">
        <f>IF($U$206="zákl. přenesená",$N$206,0)</f>
        <v>0</v>
      </c>
      <c r="BH206" s="88">
        <f>IF($U$206="sníž. přenesená",$N$206,0)</f>
        <v>0</v>
      </c>
      <c r="BI206" s="88">
        <f>IF($U$206="nulová",$N$206,0)</f>
        <v>0</v>
      </c>
      <c r="BJ206" s="6" t="s">
        <v>17</v>
      </c>
      <c r="BK206" s="88">
        <f>ROUND($L$206*$K$206,2)</f>
        <v>0</v>
      </c>
      <c r="BL206" s="6" t="s">
        <v>161</v>
      </c>
    </row>
    <row r="207" spans="2:64" s="6" customFormat="1" ht="39" customHeight="1" x14ac:dyDescent="0.3">
      <c r="B207" s="22"/>
      <c r="C207" s="141" t="s">
        <v>331</v>
      </c>
      <c r="D207" s="141" t="s">
        <v>313</v>
      </c>
      <c r="E207" s="142" t="s">
        <v>332</v>
      </c>
      <c r="F207" s="206" t="s">
        <v>333</v>
      </c>
      <c r="G207" s="207"/>
      <c r="H207" s="207"/>
      <c r="I207" s="207"/>
      <c r="J207" s="143" t="s">
        <v>176</v>
      </c>
      <c r="K207" s="144">
        <v>17</v>
      </c>
      <c r="L207" s="208">
        <v>0</v>
      </c>
      <c r="M207" s="207"/>
      <c r="N207" s="209">
        <f>ROUND($L$207*$K$207,2)</f>
        <v>0</v>
      </c>
      <c r="O207" s="202"/>
      <c r="P207" s="202"/>
      <c r="Q207" s="202"/>
      <c r="R207" s="24"/>
      <c r="T207" s="138"/>
      <c r="U207" s="30" t="s">
        <v>37</v>
      </c>
      <c r="V207" s="139">
        <v>0</v>
      </c>
      <c r="W207" s="139">
        <f>$V$207*$K$207</f>
        <v>0</v>
      </c>
      <c r="X207" s="139">
        <v>2.1499999999999998E-2</v>
      </c>
      <c r="Y207" s="139">
        <f>$X$207*$K$207</f>
        <v>0.36549999999999999</v>
      </c>
      <c r="Z207" s="139">
        <v>0</v>
      </c>
      <c r="AA207" s="140">
        <f>$Z$207*$K$207</f>
        <v>0</v>
      </c>
      <c r="AR207" s="6" t="s">
        <v>251</v>
      </c>
      <c r="AT207" s="6" t="s">
        <v>313</v>
      </c>
      <c r="AU207" s="6" t="s">
        <v>102</v>
      </c>
      <c r="AY207" s="6" t="s">
        <v>156</v>
      </c>
      <c r="BE207" s="88">
        <f>IF($U$207="základní",$N$207,0)</f>
        <v>0</v>
      </c>
      <c r="BF207" s="88">
        <f>IF($U$207="snížená",$N$207,0)</f>
        <v>0</v>
      </c>
      <c r="BG207" s="88">
        <f>IF($U$207="zákl. přenesená",$N$207,0)</f>
        <v>0</v>
      </c>
      <c r="BH207" s="88">
        <f>IF($U$207="sníž. přenesená",$N$207,0)</f>
        <v>0</v>
      </c>
      <c r="BI207" s="88">
        <f>IF($U$207="nulová",$N$207,0)</f>
        <v>0</v>
      </c>
      <c r="BJ207" s="6" t="s">
        <v>17</v>
      </c>
      <c r="BK207" s="88">
        <f>ROUND($L$207*$K$207,2)</f>
        <v>0</v>
      </c>
      <c r="BL207" s="6" t="s">
        <v>161</v>
      </c>
    </row>
    <row r="208" spans="2:64" s="6" customFormat="1" ht="15.75" customHeight="1" x14ac:dyDescent="0.3">
      <c r="B208" s="22"/>
      <c r="C208" s="134" t="s">
        <v>334</v>
      </c>
      <c r="D208" s="134" t="s">
        <v>157</v>
      </c>
      <c r="E208" s="135" t="s">
        <v>335</v>
      </c>
      <c r="F208" s="205" t="s">
        <v>336</v>
      </c>
      <c r="G208" s="202"/>
      <c r="H208" s="202"/>
      <c r="I208" s="202"/>
      <c r="J208" s="136" t="s">
        <v>176</v>
      </c>
      <c r="K208" s="137">
        <v>39</v>
      </c>
      <c r="L208" s="201">
        <v>0</v>
      </c>
      <c r="M208" s="202"/>
      <c r="N208" s="203">
        <f>ROUND($L$208*$K$208,2)</f>
        <v>0</v>
      </c>
      <c r="O208" s="202"/>
      <c r="P208" s="202"/>
      <c r="Q208" s="202"/>
      <c r="R208" s="24"/>
      <c r="T208" s="138"/>
      <c r="U208" s="30" t="s">
        <v>37</v>
      </c>
      <c r="V208" s="139">
        <v>9.5000000000000001E-2</v>
      </c>
      <c r="W208" s="139">
        <f>$V$208*$K$208</f>
        <v>3.7050000000000001</v>
      </c>
      <c r="X208" s="139">
        <v>0</v>
      </c>
      <c r="Y208" s="139">
        <f>$X$208*$K$208</f>
        <v>0</v>
      </c>
      <c r="Z208" s="139">
        <v>4.2000000000000002E-4</v>
      </c>
      <c r="AA208" s="140">
        <f>$Z$208*$K$208</f>
        <v>1.6380000000000002E-2</v>
      </c>
      <c r="AR208" s="6" t="s">
        <v>161</v>
      </c>
      <c r="AT208" s="6" t="s">
        <v>157</v>
      </c>
      <c r="AU208" s="6" t="s">
        <v>102</v>
      </c>
      <c r="AY208" s="6" t="s">
        <v>156</v>
      </c>
      <c r="BE208" s="88">
        <f>IF($U$208="základní",$N$208,0)</f>
        <v>0</v>
      </c>
      <c r="BF208" s="88">
        <f>IF($U$208="snížená",$N$208,0)</f>
        <v>0</v>
      </c>
      <c r="BG208" s="88">
        <f>IF($U$208="zákl. přenesená",$N$208,0)</f>
        <v>0</v>
      </c>
      <c r="BH208" s="88">
        <f>IF($U$208="sníž. přenesená",$N$208,0)</f>
        <v>0</v>
      </c>
      <c r="BI208" s="88">
        <f>IF($U$208="nulová",$N$208,0)</f>
        <v>0</v>
      </c>
      <c r="BJ208" s="6" t="s">
        <v>17</v>
      </c>
      <c r="BK208" s="88">
        <f>ROUND($L$208*$K$208,2)</f>
        <v>0</v>
      </c>
      <c r="BL208" s="6" t="s">
        <v>161</v>
      </c>
    </row>
    <row r="209" spans="2:64" s="6" customFormat="1" ht="27" customHeight="1" x14ac:dyDescent="0.3">
      <c r="B209" s="22"/>
      <c r="C209" s="134" t="s">
        <v>337</v>
      </c>
      <c r="D209" s="134" t="s">
        <v>157</v>
      </c>
      <c r="E209" s="135" t="s">
        <v>338</v>
      </c>
      <c r="F209" s="205" t="s">
        <v>339</v>
      </c>
      <c r="G209" s="202"/>
      <c r="H209" s="202"/>
      <c r="I209" s="202"/>
      <c r="J209" s="136" t="s">
        <v>204</v>
      </c>
      <c r="K209" s="137">
        <v>1.2829999999999999</v>
      </c>
      <c r="L209" s="201">
        <v>0</v>
      </c>
      <c r="M209" s="202"/>
      <c r="N209" s="203">
        <f>ROUND($L$209*$K$209,2)</f>
        <v>0</v>
      </c>
      <c r="O209" s="202"/>
      <c r="P209" s="202"/>
      <c r="Q209" s="202"/>
      <c r="R209" s="24"/>
      <c r="T209" s="138"/>
      <c r="U209" s="30" t="s">
        <v>37</v>
      </c>
      <c r="V209" s="139">
        <v>2.4209999999999998</v>
      </c>
      <c r="W209" s="139">
        <f>$V$209*$K$209</f>
        <v>3.1061429999999994</v>
      </c>
      <c r="X209" s="139">
        <v>0</v>
      </c>
      <c r="Y209" s="139">
        <f>$X$209*$K$209</f>
        <v>0</v>
      </c>
      <c r="Z209" s="139">
        <v>0</v>
      </c>
      <c r="AA209" s="140">
        <f>$Z$209*$K$209</f>
        <v>0</v>
      </c>
      <c r="AR209" s="6" t="s">
        <v>161</v>
      </c>
      <c r="AT209" s="6" t="s">
        <v>157</v>
      </c>
      <c r="AU209" s="6" t="s">
        <v>102</v>
      </c>
      <c r="AY209" s="6" t="s">
        <v>156</v>
      </c>
      <c r="BE209" s="88">
        <f>IF($U$209="základní",$N$209,0)</f>
        <v>0</v>
      </c>
      <c r="BF209" s="88">
        <f>IF($U$209="snížená",$N$209,0)</f>
        <v>0</v>
      </c>
      <c r="BG209" s="88">
        <f>IF($U$209="zákl. přenesená",$N$209,0)</f>
        <v>0</v>
      </c>
      <c r="BH209" s="88">
        <f>IF($U$209="sníž. přenesená",$N$209,0)</f>
        <v>0</v>
      </c>
      <c r="BI209" s="88">
        <f>IF($U$209="nulová",$N$209,0)</f>
        <v>0</v>
      </c>
      <c r="BJ209" s="6" t="s">
        <v>17</v>
      </c>
      <c r="BK209" s="88">
        <f>ROUND($L$209*$K$209,2)</f>
        <v>0</v>
      </c>
      <c r="BL209" s="6" t="s">
        <v>161</v>
      </c>
    </row>
    <row r="210" spans="2:64" s="123" customFormat="1" ht="30.75" customHeight="1" x14ac:dyDescent="0.3">
      <c r="B210" s="124"/>
      <c r="C210" s="125"/>
      <c r="D210" s="133" t="s">
        <v>126</v>
      </c>
      <c r="E210" s="125"/>
      <c r="F210" s="125"/>
      <c r="G210" s="125"/>
      <c r="H210" s="125"/>
      <c r="I210" s="125"/>
      <c r="J210" s="125"/>
      <c r="K210" s="125"/>
      <c r="L210" s="125"/>
      <c r="M210" s="125"/>
      <c r="N210" s="195">
        <f>$BK$210</f>
        <v>0</v>
      </c>
      <c r="O210" s="196"/>
      <c r="P210" s="196"/>
      <c r="Q210" s="196"/>
      <c r="R210" s="127"/>
      <c r="T210" s="128"/>
      <c r="U210" s="125"/>
      <c r="V210" s="125"/>
      <c r="W210" s="129">
        <f>SUM($W$211:$W$216)</f>
        <v>182.29647499999999</v>
      </c>
      <c r="X210" s="125"/>
      <c r="Y210" s="129">
        <f>SUM($Y$211:$Y$216)</f>
        <v>6.2349380000000005</v>
      </c>
      <c r="Z210" s="125"/>
      <c r="AA210" s="130">
        <f>SUM($AA$211:$AA$216)</f>
        <v>0</v>
      </c>
      <c r="AR210" s="131" t="s">
        <v>102</v>
      </c>
      <c r="AT210" s="131" t="s">
        <v>71</v>
      </c>
      <c r="AU210" s="131" t="s">
        <v>17</v>
      </c>
      <c r="AY210" s="131" t="s">
        <v>156</v>
      </c>
      <c r="BK210" s="132">
        <f>SUM($BK$211:$BK$216)</f>
        <v>0</v>
      </c>
    </row>
    <row r="211" spans="2:64" s="6" customFormat="1" ht="27" customHeight="1" x14ac:dyDescent="0.3">
      <c r="B211" s="22"/>
      <c r="C211" s="134" t="s">
        <v>340</v>
      </c>
      <c r="D211" s="134" t="s">
        <v>157</v>
      </c>
      <c r="E211" s="135" t="s">
        <v>341</v>
      </c>
      <c r="F211" s="205" t="s">
        <v>342</v>
      </c>
      <c r="G211" s="202"/>
      <c r="H211" s="202"/>
      <c r="I211" s="202"/>
      <c r="J211" s="136" t="s">
        <v>160</v>
      </c>
      <c r="K211" s="137">
        <v>176.8</v>
      </c>
      <c r="L211" s="201">
        <v>0</v>
      </c>
      <c r="M211" s="202"/>
      <c r="N211" s="203">
        <f>ROUND($L$211*$K$211,2)</f>
        <v>0</v>
      </c>
      <c r="O211" s="202"/>
      <c r="P211" s="202"/>
      <c r="Q211" s="202"/>
      <c r="R211" s="24"/>
      <c r="T211" s="138"/>
      <c r="U211" s="30" t="s">
        <v>37</v>
      </c>
      <c r="V211" s="139">
        <v>0.55000000000000004</v>
      </c>
      <c r="W211" s="139">
        <f>$V$211*$K$211</f>
        <v>97.240000000000009</v>
      </c>
      <c r="X211" s="139">
        <v>4.1700000000000001E-3</v>
      </c>
      <c r="Y211" s="139">
        <f>$X$211*$K$211</f>
        <v>0.73725600000000002</v>
      </c>
      <c r="Z211" s="139">
        <v>0</v>
      </c>
      <c r="AA211" s="140">
        <f>$Z$211*$K$211</f>
        <v>0</v>
      </c>
      <c r="AR211" s="6" t="s">
        <v>161</v>
      </c>
      <c r="AT211" s="6" t="s">
        <v>157</v>
      </c>
      <c r="AU211" s="6" t="s">
        <v>102</v>
      </c>
      <c r="AY211" s="6" t="s">
        <v>156</v>
      </c>
      <c r="BE211" s="88">
        <f>IF($U$211="základní",$N$211,0)</f>
        <v>0</v>
      </c>
      <c r="BF211" s="88">
        <f>IF($U$211="snížená",$N$211,0)</f>
        <v>0</v>
      </c>
      <c r="BG211" s="88">
        <f>IF($U$211="zákl. přenesená",$N$211,0)</f>
        <v>0</v>
      </c>
      <c r="BH211" s="88">
        <f>IF($U$211="sníž. přenesená",$N$211,0)</f>
        <v>0</v>
      </c>
      <c r="BI211" s="88">
        <f>IF($U$211="nulová",$N$211,0)</f>
        <v>0</v>
      </c>
      <c r="BJ211" s="6" t="s">
        <v>17</v>
      </c>
      <c r="BK211" s="88">
        <f>ROUND($L$211*$K$211,2)</f>
        <v>0</v>
      </c>
      <c r="BL211" s="6" t="s">
        <v>161</v>
      </c>
    </row>
    <row r="212" spans="2:64" s="6" customFormat="1" ht="27" customHeight="1" x14ac:dyDescent="0.3">
      <c r="B212" s="22"/>
      <c r="C212" s="141" t="s">
        <v>343</v>
      </c>
      <c r="D212" s="141" t="s">
        <v>313</v>
      </c>
      <c r="E212" s="142" t="s">
        <v>344</v>
      </c>
      <c r="F212" s="206" t="s">
        <v>345</v>
      </c>
      <c r="G212" s="207"/>
      <c r="H212" s="207"/>
      <c r="I212" s="207"/>
      <c r="J212" s="143" t="s">
        <v>160</v>
      </c>
      <c r="K212" s="144">
        <v>212.16</v>
      </c>
      <c r="L212" s="208">
        <v>0</v>
      </c>
      <c r="M212" s="207"/>
      <c r="N212" s="209">
        <f>ROUND($L$212*$K$212,2)</f>
        <v>0</v>
      </c>
      <c r="O212" s="202"/>
      <c r="P212" s="202"/>
      <c r="Q212" s="202"/>
      <c r="R212" s="24"/>
      <c r="T212" s="138"/>
      <c r="U212" s="30" t="s">
        <v>37</v>
      </c>
      <c r="V212" s="139">
        <v>0</v>
      </c>
      <c r="W212" s="139">
        <f>$V$212*$K$212</f>
        <v>0</v>
      </c>
      <c r="X212" s="139">
        <v>1.9199999999999998E-2</v>
      </c>
      <c r="Y212" s="139">
        <f>$X$212*$K$212</f>
        <v>4.0734719999999998</v>
      </c>
      <c r="Z212" s="139">
        <v>0</v>
      </c>
      <c r="AA212" s="140">
        <f>$Z$212*$K$212</f>
        <v>0</v>
      </c>
      <c r="AR212" s="6" t="s">
        <v>251</v>
      </c>
      <c r="AT212" s="6" t="s">
        <v>313</v>
      </c>
      <c r="AU212" s="6" t="s">
        <v>102</v>
      </c>
      <c r="AY212" s="6" t="s">
        <v>156</v>
      </c>
      <c r="BE212" s="88">
        <f>IF($U$212="základní",$N$212,0)</f>
        <v>0</v>
      </c>
      <c r="BF212" s="88">
        <f>IF($U$212="snížená",$N$212,0)</f>
        <v>0</v>
      </c>
      <c r="BG212" s="88">
        <f>IF($U$212="zákl. přenesená",$N$212,0)</f>
        <v>0</v>
      </c>
      <c r="BH212" s="88">
        <f>IF($U$212="sníž. přenesená",$N$212,0)</f>
        <v>0</v>
      </c>
      <c r="BI212" s="88">
        <f>IF($U$212="nulová",$N$212,0)</f>
        <v>0</v>
      </c>
      <c r="BJ212" s="6" t="s">
        <v>17</v>
      </c>
      <c r="BK212" s="88">
        <f>ROUND($L$212*$K$212,2)</f>
        <v>0</v>
      </c>
      <c r="BL212" s="6" t="s">
        <v>161</v>
      </c>
    </row>
    <row r="213" spans="2:64" s="6" customFormat="1" ht="15.75" customHeight="1" x14ac:dyDescent="0.3">
      <c r="B213" s="22"/>
      <c r="C213" s="134" t="s">
        <v>346</v>
      </c>
      <c r="D213" s="134" t="s">
        <v>157</v>
      </c>
      <c r="E213" s="135" t="s">
        <v>347</v>
      </c>
      <c r="F213" s="205" t="s">
        <v>348</v>
      </c>
      <c r="G213" s="202"/>
      <c r="H213" s="202"/>
      <c r="I213" s="202"/>
      <c r="J213" s="136" t="s">
        <v>160</v>
      </c>
      <c r="K213" s="137">
        <v>176.8</v>
      </c>
      <c r="L213" s="201">
        <v>0</v>
      </c>
      <c r="M213" s="202"/>
      <c r="N213" s="203">
        <f>ROUND($L$213*$K$213,2)</f>
        <v>0</v>
      </c>
      <c r="O213" s="202"/>
      <c r="P213" s="202"/>
      <c r="Q213" s="202"/>
      <c r="R213" s="24"/>
      <c r="T213" s="138"/>
      <c r="U213" s="30" t="s">
        <v>37</v>
      </c>
      <c r="V213" s="139">
        <v>4.3999999999999997E-2</v>
      </c>
      <c r="W213" s="139">
        <f>$V$213*$K$213</f>
        <v>7.7792000000000003</v>
      </c>
      <c r="X213" s="139">
        <v>2.9999999999999997E-4</v>
      </c>
      <c r="Y213" s="139">
        <f>$X$213*$K$213</f>
        <v>5.3039999999999997E-2</v>
      </c>
      <c r="Z213" s="139">
        <v>0</v>
      </c>
      <c r="AA213" s="140">
        <f>$Z$213*$K$213</f>
        <v>0</v>
      </c>
      <c r="AR213" s="6" t="s">
        <v>161</v>
      </c>
      <c r="AT213" s="6" t="s">
        <v>157</v>
      </c>
      <c r="AU213" s="6" t="s">
        <v>102</v>
      </c>
      <c r="AY213" s="6" t="s">
        <v>156</v>
      </c>
      <c r="BE213" s="88">
        <f>IF($U$213="základní",$N$213,0)</f>
        <v>0</v>
      </c>
      <c r="BF213" s="88">
        <f>IF($U$213="snížená",$N$213,0)</f>
        <v>0</v>
      </c>
      <c r="BG213" s="88">
        <f>IF($U$213="zákl. přenesená",$N$213,0)</f>
        <v>0</v>
      </c>
      <c r="BH213" s="88">
        <f>IF($U$213="sníž. přenesená",$N$213,0)</f>
        <v>0</v>
      </c>
      <c r="BI213" s="88">
        <f>IF($U$213="nulová",$N$213,0)</f>
        <v>0</v>
      </c>
      <c r="BJ213" s="6" t="s">
        <v>17</v>
      </c>
      <c r="BK213" s="88">
        <f>ROUND($L$213*$K$213,2)</f>
        <v>0</v>
      </c>
      <c r="BL213" s="6" t="s">
        <v>161</v>
      </c>
    </row>
    <row r="214" spans="2:64" s="6" customFormat="1" ht="15.75" customHeight="1" x14ac:dyDescent="0.3">
      <c r="B214" s="22"/>
      <c r="C214" s="134" t="s">
        <v>349</v>
      </c>
      <c r="D214" s="134" t="s">
        <v>157</v>
      </c>
      <c r="E214" s="135" t="s">
        <v>350</v>
      </c>
      <c r="F214" s="205" t="s">
        <v>351</v>
      </c>
      <c r="G214" s="202"/>
      <c r="H214" s="202"/>
      <c r="I214" s="202"/>
      <c r="J214" s="136" t="s">
        <v>195</v>
      </c>
      <c r="K214" s="137">
        <v>327</v>
      </c>
      <c r="L214" s="201">
        <v>0</v>
      </c>
      <c r="M214" s="202"/>
      <c r="N214" s="203">
        <f>ROUND($L$214*$K$214,2)</f>
        <v>0</v>
      </c>
      <c r="O214" s="202"/>
      <c r="P214" s="202"/>
      <c r="Q214" s="202"/>
      <c r="R214" s="24"/>
      <c r="T214" s="138"/>
      <c r="U214" s="30" t="s">
        <v>37</v>
      </c>
      <c r="V214" s="139">
        <v>0.05</v>
      </c>
      <c r="W214" s="139">
        <f>$V$214*$K$214</f>
        <v>16.350000000000001</v>
      </c>
      <c r="X214" s="139">
        <v>3.0000000000000001E-5</v>
      </c>
      <c r="Y214" s="139">
        <f>$X$214*$K$214</f>
        <v>9.810000000000001E-3</v>
      </c>
      <c r="Z214" s="139">
        <v>0</v>
      </c>
      <c r="AA214" s="140">
        <f>$Z$214*$K$214</f>
        <v>0</v>
      </c>
      <c r="AR214" s="6" t="s">
        <v>161</v>
      </c>
      <c r="AT214" s="6" t="s">
        <v>157</v>
      </c>
      <c r="AU214" s="6" t="s">
        <v>102</v>
      </c>
      <c r="AY214" s="6" t="s">
        <v>156</v>
      </c>
      <c r="BE214" s="88">
        <f>IF($U$214="základní",$N$214,0)</f>
        <v>0</v>
      </c>
      <c r="BF214" s="88">
        <f>IF($U$214="snížená",$N$214,0)</f>
        <v>0</v>
      </c>
      <c r="BG214" s="88">
        <f>IF($U$214="zákl. přenesená",$N$214,0)</f>
        <v>0</v>
      </c>
      <c r="BH214" s="88">
        <f>IF($U$214="sníž. přenesená",$N$214,0)</f>
        <v>0</v>
      </c>
      <c r="BI214" s="88">
        <f>IF($U$214="nulová",$N$214,0)</f>
        <v>0</v>
      </c>
      <c r="BJ214" s="6" t="s">
        <v>17</v>
      </c>
      <c r="BK214" s="88">
        <f>ROUND($L$214*$K$214,2)</f>
        <v>0</v>
      </c>
      <c r="BL214" s="6" t="s">
        <v>161</v>
      </c>
    </row>
    <row r="215" spans="2:64" s="6" customFormat="1" ht="27" customHeight="1" x14ac:dyDescent="0.3">
      <c r="B215" s="22"/>
      <c r="C215" s="134" t="s">
        <v>352</v>
      </c>
      <c r="D215" s="134" t="s">
        <v>157</v>
      </c>
      <c r="E215" s="135" t="s">
        <v>353</v>
      </c>
      <c r="F215" s="205" t="s">
        <v>354</v>
      </c>
      <c r="G215" s="202"/>
      <c r="H215" s="202"/>
      <c r="I215" s="202"/>
      <c r="J215" s="136" t="s">
        <v>160</v>
      </c>
      <c r="K215" s="137">
        <v>176.8</v>
      </c>
      <c r="L215" s="201">
        <v>0</v>
      </c>
      <c r="M215" s="202"/>
      <c r="N215" s="203">
        <f>ROUND($L$215*$K$215,2)</f>
        <v>0</v>
      </c>
      <c r="O215" s="202"/>
      <c r="P215" s="202"/>
      <c r="Q215" s="202"/>
      <c r="R215" s="24"/>
      <c r="T215" s="138"/>
      <c r="U215" s="30" t="s">
        <v>37</v>
      </c>
      <c r="V215" s="139">
        <v>0.3</v>
      </c>
      <c r="W215" s="139">
        <f>$V$215*$K$215</f>
        <v>53.04</v>
      </c>
      <c r="X215" s="139">
        <v>7.7000000000000002E-3</v>
      </c>
      <c r="Y215" s="139">
        <f>$X$215*$K$215</f>
        <v>1.3613600000000001</v>
      </c>
      <c r="Z215" s="139">
        <v>0</v>
      </c>
      <c r="AA215" s="140">
        <f>$Z$215*$K$215</f>
        <v>0</v>
      </c>
      <c r="AR215" s="6" t="s">
        <v>161</v>
      </c>
      <c r="AT215" s="6" t="s">
        <v>157</v>
      </c>
      <c r="AU215" s="6" t="s">
        <v>102</v>
      </c>
      <c r="AY215" s="6" t="s">
        <v>156</v>
      </c>
      <c r="BE215" s="88">
        <f>IF($U$215="základní",$N$215,0)</f>
        <v>0</v>
      </c>
      <c r="BF215" s="88">
        <f>IF($U$215="snížená",$N$215,0)</f>
        <v>0</v>
      </c>
      <c r="BG215" s="88">
        <f>IF($U$215="zákl. přenesená",$N$215,0)</f>
        <v>0</v>
      </c>
      <c r="BH215" s="88">
        <f>IF($U$215="sníž. přenesená",$N$215,0)</f>
        <v>0</v>
      </c>
      <c r="BI215" s="88">
        <f>IF($U$215="nulová",$N$215,0)</f>
        <v>0</v>
      </c>
      <c r="BJ215" s="6" t="s">
        <v>17</v>
      </c>
      <c r="BK215" s="88">
        <f>ROUND($L$215*$K$215,2)</f>
        <v>0</v>
      </c>
      <c r="BL215" s="6" t="s">
        <v>161</v>
      </c>
    </row>
    <row r="216" spans="2:64" s="6" customFormat="1" ht="27" customHeight="1" x14ac:dyDescent="0.3">
      <c r="B216" s="22"/>
      <c r="C216" s="134" t="s">
        <v>355</v>
      </c>
      <c r="D216" s="134" t="s">
        <v>157</v>
      </c>
      <c r="E216" s="135" t="s">
        <v>356</v>
      </c>
      <c r="F216" s="205" t="s">
        <v>357</v>
      </c>
      <c r="G216" s="202"/>
      <c r="H216" s="202"/>
      <c r="I216" s="202"/>
      <c r="J216" s="136" t="s">
        <v>204</v>
      </c>
      <c r="K216" s="137">
        <v>6.2350000000000003</v>
      </c>
      <c r="L216" s="201">
        <v>0</v>
      </c>
      <c r="M216" s="202"/>
      <c r="N216" s="203">
        <f>ROUND($L$216*$K$216,2)</f>
        <v>0</v>
      </c>
      <c r="O216" s="202"/>
      <c r="P216" s="202"/>
      <c r="Q216" s="202"/>
      <c r="R216" s="24"/>
      <c r="T216" s="138"/>
      <c r="U216" s="30" t="s">
        <v>37</v>
      </c>
      <c r="V216" s="139">
        <v>1.2649999999999999</v>
      </c>
      <c r="W216" s="139">
        <f>$V$216*$K$216</f>
        <v>7.8872749999999998</v>
      </c>
      <c r="X216" s="139">
        <v>0</v>
      </c>
      <c r="Y216" s="139">
        <f>$X$216*$K$216</f>
        <v>0</v>
      </c>
      <c r="Z216" s="139">
        <v>0</v>
      </c>
      <c r="AA216" s="140">
        <f>$Z$216*$K$216</f>
        <v>0</v>
      </c>
      <c r="AR216" s="6" t="s">
        <v>161</v>
      </c>
      <c r="AT216" s="6" t="s">
        <v>157</v>
      </c>
      <c r="AU216" s="6" t="s">
        <v>102</v>
      </c>
      <c r="AY216" s="6" t="s">
        <v>156</v>
      </c>
      <c r="BE216" s="88">
        <f>IF($U$216="základní",$N$216,0)</f>
        <v>0</v>
      </c>
      <c r="BF216" s="88">
        <f>IF($U$216="snížená",$N$216,0)</f>
        <v>0</v>
      </c>
      <c r="BG216" s="88">
        <f>IF($U$216="zákl. přenesená",$N$216,0)</f>
        <v>0</v>
      </c>
      <c r="BH216" s="88">
        <f>IF($U$216="sníž. přenesená",$N$216,0)</f>
        <v>0</v>
      </c>
      <c r="BI216" s="88">
        <f>IF($U$216="nulová",$N$216,0)</f>
        <v>0</v>
      </c>
      <c r="BJ216" s="6" t="s">
        <v>17</v>
      </c>
      <c r="BK216" s="88">
        <f>ROUND($L$216*$K$216,2)</f>
        <v>0</v>
      </c>
      <c r="BL216" s="6" t="s">
        <v>161</v>
      </c>
    </row>
    <row r="217" spans="2:64" s="123" customFormat="1" ht="30.75" customHeight="1" x14ac:dyDescent="0.3">
      <c r="B217" s="124"/>
      <c r="C217" s="125"/>
      <c r="D217" s="133" t="s">
        <v>127</v>
      </c>
      <c r="E217" s="125"/>
      <c r="F217" s="125"/>
      <c r="G217" s="125"/>
      <c r="H217" s="125"/>
      <c r="I217" s="125"/>
      <c r="J217" s="125"/>
      <c r="K217" s="125"/>
      <c r="L217" s="125"/>
      <c r="M217" s="125"/>
      <c r="N217" s="195">
        <f>$BK$217</f>
        <v>0</v>
      </c>
      <c r="O217" s="196"/>
      <c r="P217" s="196"/>
      <c r="Q217" s="196"/>
      <c r="R217" s="127"/>
      <c r="T217" s="128"/>
      <c r="U217" s="125"/>
      <c r="V217" s="125"/>
      <c r="W217" s="129">
        <f>SUM($W$218:$W$220)</f>
        <v>310.48596000000003</v>
      </c>
      <c r="X217" s="125"/>
      <c r="Y217" s="129">
        <f>SUM($Y$218:$Y$220)</f>
        <v>8.0039231999999991</v>
      </c>
      <c r="Z217" s="125"/>
      <c r="AA217" s="130">
        <f>SUM($AA$218:$AA$220)</f>
        <v>0</v>
      </c>
      <c r="AR217" s="131" t="s">
        <v>102</v>
      </c>
      <c r="AT217" s="131" t="s">
        <v>71</v>
      </c>
      <c r="AU217" s="131" t="s">
        <v>17</v>
      </c>
      <c r="AY217" s="131" t="s">
        <v>156</v>
      </c>
      <c r="BK217" s="132">
        <f>SUM($BK$218:$BK$220)</f>
        <v>0</v>
      </c>
    </row>
    <row r="218" spans="2:64" s="6" customFormat="1" ht="27" customHeight="1" x14ac:dyDescent="0.3">
      <c r="B218" s="22"/>
      <c r="C218" s="134" t="s">
        <v>358</v>
      </c>
      <c r="D218" s="134" t="s">
        <v>157</v>
      </c>
      <c r="E218" s="135" t="s">
        <v>359</v>
      </c>
      <c r="F218" s="205" t="s">
        <v>360</v>
      </c>
      <c r="G218" s="202"/>
      <c r="H218" s="202"/>
      <c r="I218" s="202"/>
      <c r="J218" s="136" t="s">
        <v>160</v>
      </c>
      <c r="K218" s="137">
        <v>213.78</v>
      </c>
      <c r="L218" s="201">
        <v>0</v>
      </c>
      <c r="M218" s="202"/>
      <c r="N218" s="203">
        <f>ROUND($L$218*$K$218,2)</f>
        <v>0</v>
      </c>
      <c r="O218" s="202"/>
      <c r="P218" s="202"/>
      <c r="Q218" s="202"/>
      <c r="R218" s="24"/>
      <c r="T218" s="138"/>
      <c r="U218" s="30" t="s">
        <v>37</v>
      </c>
      <c r="V218" s="139">
        <v>1.405</v>
      </c>
      <c r="W218" s="139">
        <f>$V$218*$K$218</f>
        <v>300.36090000000002</v>
      </c>
      <c r="X218" s="139">
        <v>2.4459999999999999E-2</v>
      </c>
      <c r="Y218" s="139">
        <f>$X$218*$K$218</f>
        <v>5.2290587999999998</v>
      </c>
      <c r="Z218" s="139">
        <v>0</v>
      </c>
      <c r="AA218" s="140">
        <f>$Z$218*$K$218</f>
        <v>0</v>
      </c>
      <c r="AR218" s="6" t="s">
        <v>161</v>
      </c>
      <c r="AT218" s="6" t="s">
        <v>157</v>
      </c>
      <c r="AU218" s="6" t="s">
        <v>102</v>
      </c>
      <c r="AY218" s="6" t="s">
        <v>156</v>
      </c>
      <c r="BE218" s="88">
        <f>IF($U$218="základní",$N$218,0)</f>
        <v>0</v>
      </c>
      <c r="BF218" s="88">
        <f>IF($U$218="snížená",$N$218,0)</f>
        <v>0</v>
      </c>
      <c r="BG218" s="88">
        <f>IF($U$218="zákl. přenesená",$N$218,0)</f>
        <v>0</v>
      </c>
      <c r="BH218" s="88">
        <f>IF($U$218="sníž. přenesená",$N$218,0)</f>
        <v>0</v>
      </c>
      <c r="BI218" s="88">
        <f>IF($U$218="nulová",$N$218,0)</f>
        <v>0</v>
      </c>
      <c r="BJ218" s="6" t="s">
        <v>17</v>
      </c>
      <c r="BK218" s="88">
        <f>ROUND($L$218*$K$218,2)</f>
        <v>0</v>
      </c>
      <c r="BL218" s="6" t="s">
        <v>161</v>
      </c>
    </row>
    <row r="219" spans="2:64" s="6" customFormat="1" ht="27" customHeight="1" x14ac:dyDescent="0.3">
      <c r="B219" s="22"/>
      <c r="C219" s="141" t="s">
        <v>361</v>
      </c>
      <c r="D219" s="141" t="s">
        <v>313</v>
      </c>
      <c r="E219" s="142" t="s">
        <v>362</v>
      </c>
      <c r="F219" s="206" t="s">
        <v>363</v>
      </c>
      <c r="G219" s="207"/>
      <c r="H219" s="207"/>
      <c r="I219" s="207"/>
      <c r="J219" s="143" t="s">
        <v>160</v>
      </c>
      <c r="K219" s="144">
        <v>235.15799999999999</v>
      </c>
      <c r="L219" s="208">
        <v>0</v>
      </c>
      <c r="M219" s="207"/>
      <c r="N219" s="209">
        <f>ROUND($L$219*$K$219,2)</f>
        <v>0</v>
      </c>
      <c r="O219" s="202"/>
      <c r="P219" s="202"/>
      <c r="Q219" s="202"/>
      <c r="R219" s="24"/>
      <c r="T219" s="138"/>
      <c r="U219" s="30" t="s">
        <v>37</v>
      </c>
      <c r="V219" s="139">
        <v>0</v>
      </c>
      <c r="W219" s="139">
        <f>$V$219*$K$219</f>
        <v>0</v>
      </c>
      <c r="X219" s="139">
        <v>1.18E-2</v>
      </c>
      <c r="Y219" s="139">
        <f>$X$219*$K$219</f>
        <v>2.7748643999999998</v>
      </c>
      <c r="Z219" s="139">
        <v>0</v>
      </c>
      <c r="AA219" s="140">
        <f>$Z$219*$K$219</f>
        <v>0</v>
      </c>
      <c r="AR219" s="6" t="s">
        <v>251</v>
      </c>
      <c r="AT219" s="6" t="s">
        <v>313</v>
      </c>
      <c r="AU219" s="6" t="s">
        <v>102</v>
      </c>
      <c r="AY219" s="6" t="s">
        <v>156</v>
      </c>
      <c r="BE219" s="88">
        <f>IF($U$219="základní",$N$219,0)</f>
        <v>0</v>
      </c>
      <c r="BF219" s="88">
        <f>IF($U$219="snížená",$N$219,0)</f>
        <v>0</v>
      </c>
      <c r="BG219" s="88">
        <f>IF($U$219="zákl. přenesená",$N$219,0)</f>
        <v>0</v>
      </c>
      <c r="BH219" s="88">
        <f>IF($U$219="sníž. přenesená",$N$219,0)</f>
        <v>0</v>
      </c>
      <c r="BI219" s="88">
        <f>IF($U$219="nulová",$N$219,0)</f>
        <v>0</v>
      </c>
      <c r="BJ219" s="6" t="s">
        <v>17</v>
      </c>
      <c r="BK219" s="88">
        <f>ROUND($L$219*$K$219,2)</f>
        <v>0</v>
      </c>
      <c r="BL219" s="6" t="s">
        <v>161</v>
      </c>
    </row>
    <row r="220" spans="2:64" s="6" customFormat="1" ht="27" customHeight="1" x14ac:dyDescent="0.3">
      <c r="B220" s="22"/>
      <c r="C220" s="134" t="s">
        <v>364</v>
      </c>
      <c r="D220" s="134" t="s">
        <v>157</v>
      </c>
      <c r="E220" s="135" t="s">
        <v>365</v>
      </c>
      <c r="F220" s="205" t="s">
        <v>366</v>
      </c>
      <c r="G220" s="202"/>
      <c r="H220" s="202"/>
      <c r="I220" s="202"/>
      <c r="J220" s="136" t="s">
        <v>204</v>
      </c>
      <c r="K220" s="137">
        <v>8.0039999999999996</v>
      </c>
      <c r="L220" s="201">
        <v>0</v>
      </c>
      <c r="M220" s="202"/>
      <c r="N220" s="203">
        <f>ROUND($L$220*$K$220,2)</f>
        <v>0</v>
      </c>
      <c r="O220" s="202"/>
      <c r="P220" s="202"/>
      <c r="Q220" s="202"/>
      <c r="R220" s="24"/>
      <c r="T220" s="138"/>
      <c r="U220" s="30" t="s">
        <v>37</v>
      </c>
      <c r="V220" s="139">
        <v>1.2649999999999999</v>
      </c>
      <c r="W220" s="139">
        <f>$V$220*$K$220</f>
        <v>10.12506</v>
      </c>
      <c r="X220" s="139">
        <v>0</v>
      </c>
      <c r="Y220" s="139">
        <f>$X$220*$K$220</f>
        <v>0</v>
      </c>
      <c r="Z220" s="139">
        <v>0</v>
      </c>
      <c r="AA220" s="140">
        <f>$Z$220*$K$220</f>
        <v>0</v>
      </c>
      <c r="AR220" s="6" t="s">
        <v>161</v>
      </c>
      <c r="AT220" s="6" t="s">
        <v>157</v>
      </c>
      <c r="AU220" s="6" t="s">
        <v>102</v>
      </c>
      <c r="AY220" s="6" t="s">
        <v>156</v>
      </c>
      <c r="BE220" s="88">
        <f>IF($U$220="základní",$N$220,0)</f>
        <v>0</v>
      </c>
      <c r="BF220" s="88">
        <f>IF($U$220="snížená",$N$220,0)</f>
        <v>0</v>
      </c>
      <c r="BG220" s="88">
        <f>IF($U$220="zákl. přenesená",$N$220,0)</f>
        <v>0</v>
      </c>
      <c r="BH220" s="88">
        <f>IF($U$220="sníž. přenesená",$N$220,0)</f>
        <v>0</v>
      </c>
      <c r="BI220" s="88">
        <f>IF($U$220="nulová",$N$220,0)</f>
        <v>0</v>
      </c>
      <c r="BJ220" s="6" t="s">
        <v>17</v>
      </c>
      <c r="BK220" s="88">
        <f>ROUND($L$220*$K$220,2)</f>
        <v>0</v>
      </c>
      <c r="BL220" s="6" t="s">
        <v>161</v>
      </c>
    </row>
    <row r="221" spans="2:64" s="123" customFormat="1" ht="30.75" customHeight="1" x14ac:dyDescent="0.3">
      <c r="B221" s="124"/>
      <c r="C221" s="125"/>
      <c r="D221" s="133" t="s">
        <v>128</v>
      </c>
      <c r="E221" s="125"/>
      <c r="F221" s="125"/>
      <c r="G221" s="125"/>
      <c r="H221" s="125"/>
      <c r="I221" s="125"/>
      <c r="J221" s="125"/>
      <c r="K221" s="125"/>
      <c r="L221" s="125"/>
      <c r="M221" s="125"/>
      <c r="N221" s="195">
        <f>$BK$221</f>
        <v>0</v>
      </c>
      <c r="O221" s="196"/>
      <c r="P221" s="196"/>
      <c r="Q221" s="196"/>
      <c r="R221" s="127"/>
      <c r="T221" s="128"/>
      <c r="U221" s="125"/>
      <c r="V221" s="125"/>
      <c r="W221" s="129">
        <f>$W$222</f>
        <v>11.7</v>
      </c>
      <c r="X221" s="125"/>
      <c r="Y221" s="129">
        <f>$Y$222</f>
        <v>3.1200000000000002E-2</v>
      </c>
      <c r="Z221" s="125"/>
      <c r="AA221" s="130">
        <f>$AA$222</f>
        <v>0</v>
      </c>
      <c r="AR221" s="131" t="s">
        <v>102</v>
      </c>
      <c r="AT221" s="131" t="s">
        <v>71</v>
      </c>
      <c r="AU221" s="131" t="s">
        <v>17</v>
      </c>
      <c r="AY221" s="131" t="s">
        <v>156</v>
      </c>
      <c r="BK221" s="132">
        <f>$BK$222</f>
        <v>0</v>
      </c>
    </row>
    <row r="222" spans="2:64" s="6" customFormat="1" ht="27" customHeight="1" x14ac:dyDescent="0.3">
      <c r="B222" s="22"/>
      <c r="C222" s="134" t="s">
        <v>367</v>
      </c>
      <c r="D222" s="134" t="s">
        <v>157</v>
      </c>
      <c r="E222" s="135" t="s">
        <v>368</v>
      </c>
      <c r="F222" s="205" t="s">
        <v>369</v>
      </c>
      <c r="G222" s="202"/>
      <c r="H222" s="202"/>
      <c r="I222" s="202"/>
      <c r="J222" s="136" t="s">
        <v>176</v>
      </c>
      <c r="K222" s="137">
        <v>39</v>
      </c>
      <c r="L222" s="201">
        <v>0</v>
      </c>
      <c r="M222" s="202"/>
      <c r="N222" s="203">
        <f>ROUND($L$222*$K$222,2)</f>
        <v>0</v>
      </c>
      <c r="O222" s="202"/>
      <c r="P222" s="202"/>
      <c r="Q222" s="202"/>
      <c r="R222" s="24"/>
      <c r="T222" s="138"/>
      <c r="U222" s="30" t="s">
        <v>37</v>
      </c>
      <c r="V222" s="139">
        <v>0.3</v>
      </c>
      <c r="W222" s="139">
        <f>$V$222*$K$222</f>
        <v>11.7</v>
      </c>
      <c r="X222" s="139">
        <v>8.0000000000000004E-4</v>
      </c>
      <c r="Y222" s="139">
        <f>$X$222*$K$222</f>
        <v>3.1200000000000002E-2</v>
      </c>
      <c r="Z222" s="139">
        <v>0</v>
      </c>
      <c r="AA222" s="140">
        <f>$Z$222*$K$222</f>
        <v>0</v>
      </c>
      <c r="AR222" s="6" t="s">
        <v>161</v>
      </c>
      <c r="AT222" s="6" t="s">
        <v>157</v>
      </c>
      <c r="AU222" s="6" t="s">
        <v>102</v>
      </c>
      <c r="AY222" s="6" t="s">
        <v>156</v>
      </c>
      <c r="BE222" s="88">
        <f>IF($U$222="základní",$N$222,0)</f>
        <v>0</v>
      </c>
      <c r="BF222" s="88">
        <f>IF($U$222="snížená",$N$222,0)</f>
        <v>0</v>
      </c>
      <c r="BG222" s="88">
        <f>IF($U$222="zákl. přenesená",$N$222,0)</f>
        <v>0</v>
      </c>
      <c r="BH222" s="88">
        <f>IF($U$222="sníž. přenesená",$N$222,0)</f>
        <v>0</v>
      </c>
      <c r="BI222" s="88">
        <f>IF($U$222="nulová",$N$222,0)</f>
        <v>0</v>
      </c>
      <c r="BJ222" s="6" t="s">
        <v>17</v>
      </c>
      <c r="BK222" s="88">
        <f>ROUND($L$222*$K$222,2)</f>
        <v>0</v>
      </c>
      <c r="BL222" s="6" t="s">
        <v>161</v>
      </c>
    </row>
    <row r="223" spans="2:64" s="123" customFormat="1" ht="30.75" customHeight="1" x14ac:dyDescent="0.3">
      <c r="B223" s="124"/>
      <c r="C223" s="125"/>
      <c r="D223" s="133" t="s">
        <v>129</v>
      </c>
      <c r="E223" s="125"/>
      <c r="F223" s="125"/>
      <c r="G223" s="125"/>
      <c r="H223" s="125"/>
      <c r="I223" s="125"/>
      <c r="J223" s="125"/>
      <c r="K223" s="125"/>
      <c r="L223" s="125"/>
      <c r="M223" s="125"/>
      <c r="N223" s="195">
        <f>$BK$223</f>
        <v>0</v>
      </c>
      <c r="O223" s="196"/>
      <c r="P223" s="196"/>
      <c r="Q223" s="196"/>
      <c r="R223" s="127"/>
      <c r="T223" s="128"/>
      <c r="U223" s="125"/>
      <c r="V223" s="125"/>
      <c r="W223" s="129">
        <f>SUM($W$224:$W$227)</f>
        <v>87.256</v>
      </c>
      <c r="X223" s="125"/>
      <c r="Y223" s="129">
        <f>SUM($Y$224:$Y$227)</f>
        <v>0.62505499999999992</v>
      </c>
      <c r="Z223" s="125"/>
      <c r="AA223" s="130">
        <f>SUM($AA$224:$AA$227)</f>
        <v>0.13004499999999999</v>
      </c>
      <c r="AR223" s="131" t="s">
        <v>102</v>
      </c>
      <c r="AT223" s="131" t="s">
        <v>71</v>
      </c>
      <c r="AU223" s="131" t="s">
        <v>17</v>
      </c>
      <c r="AY223" s="131" t="s">
        <v>156</v>
      </c>
      <c r="BK223" s="132">
        <f>SUM($BK$224:$BK$227)</f>
        <v>0</v>
      </c>
    </row>
    <row r="224" spans="2:64" s="6" customFormat="1" ht="15.75" customHeight="1" x14ac:dyDescent="0.3">
      <c r="B224" s="22"/>
      <c r="C224" s="134" t="s">
        <v>370</v>
      </c>
      <c r="D224" s="134" t="s">
        <v>157</v>
      </c>
      <c r="E224" s="135" t="s">
        <v>371</v>
      </c>
      <c r="F224" s="205" t="s">
        <v>372</v>
      </c>
      <c r="G224" s="202"/>
      <c r="H224" s="202"/>
      <c r="I224" s="202"/>
      <c r="J224" s="136" t="s">
        <v>160</v>
      </c>
      <c r="K224" s="137">
        <v>419.5</v>
      </c>
      <c r="L224" s="201">
        <v>0</v>
      </c>
      <c r="M224" s="202"/>
      <c r="N224" s="203">
        <f>ROUND($L$224*$K$224,2)</f>
        <v>0</v>
      </c>
      <c r="O224" s="202"/>
      <c r="P224" s="202"/>
      <c r="Q224" s="202"/>
      <c r="R224" s="24"/>
      <c r="T224" s="138"/>
      <c r="U224" s="30" t="s">
        <v>37</v>
      </c>
      <c r="V224" s="139">
        <v>7.3999999999999996E-2</v>
      </c>
      <c r="W224" s="139">
        <f>$V$224*$K$224</f>
        <v>31.042999999999999</v>
      </c>
      <c r="X224" s="139">
        <v>1E-3</v>
      </c>
      <c r="Y224" s="139">
        <f>$X$224*$K$224</f>
        <v>0.41949999999999998</v>
      </c>
      <c r="Z224" s="139">
        <v>3.1E-4</v>
      </c>
      <c r="AA224" s="140">
        <f>$Z$224*$K$224</f>
        <v>0.13004499999999999</v>
      </c>
      <c r="AR224" s="6" t="s">
        <v>161</v>
      </c>
      <c r="AT224" s="6" t="s">
        <v>157</v>
      </c>
      <c r="AU224" s="6" t="s">
        <v>102</v>
      </c>
      <c r="AY224" s="6" t="s">
        <v>156</v>
      </c>
      <c r="BE224" s="88">
        <f>IF($U$224="základní",$N$224,0)</f>
        <v>0</v>
      </c>
      <c r="BF224" s="88">
        <f>IF($U$224="snížená",$N$224,0)</f>
        <v>0</v>
      </c>
      <c r="BG224" s="88">
        <f>IF($U$224="zákl. přenesená",$N$224,0)</f>
        <v>0</v>
      </c>
      <c r="BH224" s="88">
        <f>IF($U$224="sníž. přenesená",$N$224,0)</f>
        <v>0</v>
      </c>
      <c r="BI224" s="88">
        <f>IF($U$224="nulová",$N$224,0)</f>
        <v>0</v>
      </c>
      <c r="BJ224" s="6" t="s">
        <v>17</v>
      </c>
      <c r="BK224" s="88">
        <f>ROUND($L$224*$K$224,2)</f>
        <v>0</v>
      </c>
      <c r="BL224" s="6" t="s">
        <v>161</v>
      </c>
    </row>
    <row r="225" spans="2:64" s="6" customFormat="1" ht="27" customHeight="1" x14ac:dyDescent="0.3">
      <c r="B225" s="22"/>
      <c r="C225" s="134" t="s">
        <v>373</v>
      </c>
      <c r="D225" s="134" t="s">
        <v>157</v>
      </c>
      <c r="E225" s="135" t="s">
        <v>374</v>
      </c>
      <c r="F225" s="205" t="s">
        <v>375</v>
      </c>
      <c r="G225" s="202"/>
      <c r="H225" s="202"/>
      <c r="I225" s="202"/>
      <c r="J225" s="136" t="s">
        <v>160</v>
      </c>
      <c r="K225" s="137">
        <v>419.5</v>
      </c>
      <c r="L225" s="201">
        <v>0</v>
      </c>
      <c r="M225" s="202"/>
      <c r="N225" s="203">
        <f>ROUND($L$225*$K$225,2)</f>
        <v>0</v>
      </c>
      <c r="O225" s="202"/>
      <c r="P225" s="202"/>
      <c r="Q225" s="202"/>
      <c r="R225" s="24"/>
      <c r="T225" s="138"/>
      <c r="U225" s="30" t="s">
        <v>37</v>
      </c>
      <c r="V225" s="139">
        <v>3.6999999999999998E-2</v>
      </c>
      <c r="W225" s="139">
        <f>$V$225*$K$225</f>
        <v>15.5215</v>
      </c>
      <c r="X225" s="139">
        <v>0</v>
      </c>
      <c r="Y225" s="139">
        <f>$X$225*$K$225</f>
        <v>0</v>
      </c>
      <c r="Z225" s="139">
        <v>0</v>
      </c>
      <c r="AA225" s="140">
        <f>$Z$225*$K$225</f>
        <v>0</v>
      </c>
      <c r="AR225" s="6" t="s">
        <v>161</v>
      </c>
      <c r="AT225" s="6" t="s">
        <v>157</v>
      </c>
      <c r="AU225" s="6" t="s">
        <v>102</v>
      </c>
      <c r="AY225" s="6" t="s">
        <v>156</v>
      </c>
      <c r="BE225" s="88">
        <f>IF($U$225="základní",$N$225,0)</f>
        <v>0</v>
      </c>
      <c r="BF225" s="88">
        <f>IF($U$225="snížená",$N$225,0)</f>
        <v>0</v>
      </c>
      <c r="BG225" s="88">
        <f>IF($U$225="zákl. přenesená",$N$225,0)</f>
        <v>0</v>
      </c>
      <c r="BH225" s="88">
        <f>IF($U$225="sníž. přenesená",$N$225,0)</f>
        <v>0</v>
      </c>
      <c r="BI225" s="88">
        <f>IF($U$225="nulová",$N$225,0)</f>
        <v>0</v>
      </c>
      <c r="BJ225" s="6" t="s">
        <v>17</v>
      </c>
      <c r="BK225" s="88">
        <f>ROUND($L$225*$K$225,2)</f>
        <v>0</v>
      </c>
      <c r="BL225" s="6" t="s">
        <v>161</v>
      </c>
    </row>
    <row r="226" spans="2:64" s="6" customFormat="1" ht="27" customHeight="1" x14ac:dyDescent="0.3">
      <c r="B226" s="22"/>
      <c r="C226" s="134" t="s">
        <v>376</v>
      </c>
      <c r="D226" s="134" t="s">
        <v>157</v>
      </c>
      <c r="E226" s="135" t="s">
        <v>377</v>
      </c>
      <c r="F226" s="205" t="s">
        <v>378</v>
      </c>
      <c r="G226" s="202"/>
      <c r="H226" s="202"/>
      <c r="I226" s="202"/>
      <c r="J226" s="136" t="s">
        <v>160</v>
      </c>
      <c r="K226" s="137">
        <v>419.5</v>
      </c>
      <c r="L226" s="201">
        <v>0</v>
      </c>
      <c r="M226" s="202"/>
      <c r="N226" s="203">
        <f>ROUND($L$226*$K$226,2)</f>
        <v>0</v>
      </c>
      <c r="O226" s="202"/>
      <c r="P226" s="202"/>
      <c r="Q226" s="202"/>
      <c r="R226" s="24"/>
      <c r="T226" s="138"/>
      <c r="U226" s="30" t="s">
        <v>37</v>
      </c>
      <c r="V226" s="139">
        <v>3.3000000000000002E-2</v>
      </c>
      <c r="W226" s="139">
        <f>$V$226*$K$226</f>
        <v>13.843500000000001</v>
      </c>
      <c r="X226" s="139">
        <v>2.0000000000000001E-4</v>
      </c>
      <c r="Y226" s="139">
        <f>$X$226*$K$226</f>
        <v>8.3900000000000002E-2</v>
      </c>
      <c r="Z226" s="139">
        <v>0</v>
      </c>
      <c r="AA226" s="140">
        <f>$Z$226*$K$226</f>
        <v>0</v>
      </c>
      <c r="AR226" s="6" t="s">
        <v>161</v>
      </c>
      <c r="AT226" s="6" t="s">
        <v>157</v>
      </c>
      <c r="AU226" s="6" t="s">
        <v>102</v>
      </c>
      <c r="AY226" s="6" t="s">
        <v>156</v>
      </c>
      <c r="BE226" s="88">
        <f>IF($U$226="základní",$N$226,0)</f>
        <v>0</v>
      </c>
      <c r="BF226" s="88">
        <f>IF($U$226="snížená",$N$226,0)</f>
        <v>0</v>
      </c>
      <c r="BG226" s="88">
        <f>IF($U$226="zákl. přenesená",$N$226,0)</f>
        <v>0</v>
      </c>
      <c r="BH226" s="88">
        <f>IF($U$226="sníž. přenesená",$N$226,0)</f>
        <v>0</v>
      </c>
      <c r="BI226" s="88">
        <f>IF($U$226="nulová",$N$226,0)</f>
        <v>0</v>
      </c>
      <c r="BJ226" s="6" t="s">
        <v>17</v>
      </c>
      <c r="BK226" s="88">
        <f>ROUND($L$226*$K$226,2)</f>
        <v>0</v>
      </c>
      <c r="BL226" s="6" t="s">
        <v>161</v>
      </c>
    </row>
    <row r="227" spans="2:64" s="6" customFormat="1" ht="27" customHeight="1" x14ac:dyDescent="0.3">
      <c r="B227" s="22"/>
      <c r="C227" s="134" t="s">
        <v>379</v>
      </c>
      <c r="D227" s="134" t="s">
        <v>157</v>
      </c>
      <c r="E227" s="135" t="s">
        <v>380</v>
      </c>
      <c r="F227" s="205" t="s">
        <v>381</v>
      </c>
      <c r="G227" s="202"/>
      <c r="H227" s="202"/>
      <c r="I227" s="202"/>
      <c r="J227" s="136" t="s">
        <v>160</v>
      </c>
      <c r="K227" s="137">
        <v>419.5</v>
      </c>
      <c r="L227" s="201">
        <v>0</v>
      </c>
      <c r="M227" s="202"/>
      <c r="N227" s="203">
        <f>ROUND($L$227*$K$227,2)</f>
        <v>0</v>
      </c>
      <c r="O227" s="202"/>
      <c r="P227" s="202"/>
      <c r="Q227" s="202"/>
      <c r="R227" s="24"/>
      <c r="T227" s="138"/>
      <c r="U227" s="30" t="s">
        <v>37</v>
      </c>
      <c r="V227" s="139">
        <v>6.4000000000000001E-2</v>
      </c>
      <c r="W227" s="139">
        <f>$V$227*$K$227</f>
        <v>26.847999999999999</v>
      </c>
      <c r="X227" s="139">
        <v>2.9E-4</v>
      </c>
      <c r="Y227" s="139">
        <f>$X$227*$K$227</f>
        <v>0.121655</v>
      </c>
      <c r="Z227" s="139">
        <v>0</v>
      </c>
      <c r="AA227" s="140">
        <f>$Z$227*$K$227</f>
        <v>0</v>
      </c>
      <c r="AR227" s="6" t="s">
        <v>161</v>
      </c>
      <c r="AT227" s="6" t="s">
        <v>157</v>
      </c>
      <c r="AU227" s="6" t="s">
        <v>102</v>
      </c>
      <c r="AY227" s="6" t="s">
        <v>156</v>
      </c>
      <c r="BE227" s="88">
        <f>IF($U$227="základní",$N$227,0)</f>
        <v>0</v>
      </c>
      <c r="BF227" s="88">
        <f>IF($U$227="snížená",$N$227,0)</f>
        <v>0</v>
      </c>
      <c r="BG227" s="88">
        <f>IF($U$227="zákl. přenesená",$N$227,0)</f>
        <v>0</v>
      </c>
      <c r="BH227" s="88">
        <f>IF($U$227="sníž. přenesená",$N$227,0)</f>
        <v>0</v>
      </c>
      <c r="BI227" s="88">
        <f>IF($U$227="nulová",$N$227,0)</f>
        <v>0</v>
      </c>
      <c r="BJ227" s="6" t="s">
        <v>17</v>
      </c>
      <c r="BK227" s="88">
        <f>ROUND($L$227*$K$227,2)</f>
        <v>0</v>
      </c>
      <c r="BL227" s="6" t="s">
        <v>161</v>
      </c>
    </row>
    <row r="228" spans="2:64" s="123" customFormat="1" ht="37.5" customHeight="1" x14ac:dyDescent="0.35">
      <c r="B228" s="124"/>
      <c r="C228" s="125"/>
      <c r="D228" s="126" t="s">
        <v>130</v>
      </c>
      <c r="E228" s="125"/>
      <c r="F228" s="125"/>
      <c r="G228" s="125"/>
      <c r="H228" s="125"/>
      <c r="I228" s="125"/>
      <c r="J228" s="125"/>
      <c r="K228" s="125"/>
      <c r="L228" s="125"/>
      <c r="M228" s="125"/>
      <c r="N228" s="197">
        <f>$BK$228</f>
        <v>0</v>
      </c>
      <c r="O228" s="196"/>
      <c r="P228" s="196"/>
      <c r="Q228" s="196"/>
      <c r="R228" s="127"/>
      <c r="T228" s="128"/>
      <c r="U228" s="125"/>
      <c r="V228" s="125"/>
      <c r="W228" s="129">
        <f>$W$229</f>
        <v>100</v>
      </c>
      <c r="X228" s="125"/>
      <c r="Y228" s="129">
        <f>$Y$229</f>
        <v>0</v>
      </c>
      <c r="Z228" s="125"/>
      <c r="AA228" s="130">
        <f>$AA$229</f>
        <v>0</v>
      </c>
      <c r="AR228" s="131" t="s">
        <v>167</v>
      </c>
      <c r="AT228" s="131" t="s">
        <v>71</v>
      </c>
      <c r="AU228" s="131" t="s">
        <v>72</v>
      </c>
      <c r="AY228" s="131" t="s">
        <v>156</v>
      </c>
      <c r="BK228" s="132">
        <f>$BK$229</f>
        <v>0</v>
      </c>
    </row>
    <row r="229" spans="2:64" s="6" customFormat="1" ht="39" customHeight="1" x14ac:dyDescent="0.3">
      <c r="B229" s="22"/>
      <c r="C229" s="134" t="s">
        <v>382</v>
      </c>
      <c r="D229" s="134" t="s">
        <v>157</v>
      </c>
      <c r="E229" s="135" t="s">
        <v>383</v>
      </c>
      <c r="F229" s="205" t="s">
        <v>384</v>
      </c>
      <c r="G229" s="202"/>
      <c r="H229" s="202"/>
      <c r="I229" s="202"/>
      <c r="J229" s="136" t="s">
        <v>385</v>
      </c>
      <c r="K229" s="137">
        <v>100</v>
      </c>
      <c r="L229" s="201">
        <v>0</v>
      </c>
      <c r="M229" s="202"/>
      <c r="N229" s="203">
        <f>ROUND($L$229*$K$229,2)</f>
        <v>0</v>
      </c>
      <c r="O229" s="202"/>
      <c r="P229" s="202"/>
      <c r="Q229" s="202"/>
      <c r="R229" s="24"/>
      <c r="T229" s="138"/>
      <c r="U229" s="30" t="s">
        <v>37</v>
      </c>
      <c r="V229" s="139">
        <v>1</v>
      </c>
      <c r="W229" s="139">
        <f>$V$229*$K$229</f>
        <v>100</v>
      </c>
      <c r="X229" s="139">
        <v>0</v>
      </c>
      <c r="Y229" s="139">
        <f>$X$229*$K$229</f>
        <v>0</v>
      </c>
      <c r="Z229" s="139">
        <v>0</v>
      </c>
      <c r="AA229" s="140">
        <f>$Z$229*$K$229</f>
        <v>0</v>
      </c>
      <c r="AR229" s="6" t="s">
        <v>161</v>
      </c>
      <c r="AT229" s="6" t="s">
        <v>157</v>
      </c>
      <c r="AU229" s="6" t="s">
        <v>17</v>
      </c>
      <c r="AY229" s="6" t="s">
        <v>156</v>
      </c>
      <c r="BE229" s="88">
        <f>IF($U$229="základní",$N$229,0)</f>
        <v>0</v>
      </c>
      <c r="BF229" s="88">
        <f>IF($U$229="snížená",$N$229,0)</f>
        <v>0</v>
      </c>
      <c r="BG229" s="88">
        <f>IF($U$229="zákl. přenesená",$N$229,0)</f>
        <v>0</v>
      </c>
      <c r="BH229" s="88">
        <f>IF($U$229="sníž. přenesená",$N$229,0)</f>
        <v>0</v>
      </c>
      <c r="BI229" s="88">
        <f>IF($U$229="nulová",$N$229,0)</f>
        <v>0</v>
      </c>
      <c r="BJ229" s="6" t="s">
        <v>17</v>
      </c>
      <c r="BK229" s="88">
        <f>ROUND($L$229*$K$229,2)</f>
        <v>0</v>
      </c>
      <c r="BL229" s="6" t="s">
        <v>161</v>
      </c>
    </row>
    <row r="230" spans="2:64" s="6" customFormat="1" ht="51" customHeight="1" x14ac:dyDescent="0.35">
      <c r="B230" s="22"/>
      <c r="C230" s="23"/>
      <c r="D230" s="126" t="s">
        <v>386</v>
      </c>
      <c r="E230" s="23"/>
      <c r="F230" s="23"/>
      <c r="G230" s="23"/>
      <c r="H230" s="23"/>
      <c r="I230" s="23"/>
      <c r="J230" s="23"/>
      <c r="K230" s="23"/>
      <c r="L230" s="23"/>
      <c r="M230" s="23"/>
      <c r="N230" s="197">
        <f>$BK$230</f>
        <v>0</v>
      </c>
      <c r="O230" s="161"/>
      <c r="P230" s="161"/>
      <c r="Q230" s="161"/>
      <c r="R230" s="24"/>
      <c r="T230" s="59"/>
      <c r="U230" s="23"/>
      <c r="V230" s="23"/>
      <c r="W230" s="23"/>
      <c r="X230" s="23"/>
      <c r="Y230" s="23"/>
      <c r="Z230" s="23"/>
      <c r="AA230" s="60"/>
      <c r="AT230" s="6" t="s">
        <v>71</v>
      </c>
      <c r="AU230" s="6" t="s">
        <v>72</v>
      </c>
      <c r="AY230" s="6" t="s">
        <v>387</v>
      </c>
      <c r="BK230" s="88">
        <f>$BK$231</f>
        <v>0</v>
      </c>
    </row>
    <row r="231" spans="2:64" s="6" customFormat="1" ht="23.25" customHeight="1" x14ac:dyDescent="0.3">
      <c r="B231" s="22"/>
      <c r="C231" s="145"/>
      <c r="D231" s="145" t="s">
        <v>157</v>
      </c>
      <c r="E231" s="146"/>
      <c r="F231" s="199"/>
      <c r="G231" s="200"/>
      <c r="H231" s="200"/>
      <c r="I231" s="200"/>
      <c r="J231" s="147"/>
      <c r="K231" s="148"/>
      <c r="L231" s="201"/>
      <c r="M231" s="202"/>
      <c r="N231" s="203">
        <f>$BK$231</f>
        <v>0</v>
      </c>
      <c r="O231" s="202"/>
      <c r="P231" s="202"/>
      <c r="Q231" s="202"/>
      <c r="R231" s="24"/>
      <c r="T231" s="138"/>
      <c r="U231" s="149" t="s">
        <v>37</v>
      </c>
      <c r="V231" s="42"/>
      <c r="W231" s="42"/>
      <c r="X231" s="42"/>
      <c r="Y231" s="42"/>
      <c r="Z231" s="42"/>
      <c r="AA231" s="44"/>
      <c r="AT231" s="6" t="s">
        <v>387</v>
      </c>
      <c r="AU231" s="6" t="s">
        <v>17</v>
      </c>
      <c r="AY231" s="6" t="s">
        <v>387</v>
      </c>
      <c r="BE231" s="88">
        <f>IF($U$231="základní",$N$231,0)</f>
        <v>0</v>
      </c>
      <c r="BF231" s="88">
        <f>IF($U$231="snížená",$N$231,0)</f>
        <v>0</v>
      </c>
      <c r="BG231" s="88">
        <f>IF($U$231="zákl. přenesená",$N$231,0)</f>
        <v>0</v>
      </c>
      <c r="BH231" s="88">
        <f>IF($U$231="sníž. přenesená",$N$231,0)</f>
        <v>0</v>
      </c>
      <c r="BI231" s="88">
        <f>IF($U$231="nulová",$N$231,0)</f>
        <v>0</v>
      </c>
      <c r="BJ231" s="6" t="s">
        <v>17</v>
      </c>
      <c r="BK231" s="88">
        <f>$L$231*$K$231</f>
        <v>0</v>
      </c>
    </row>
    <row r="232" spans="2:64" s="6" customFormat="1" ht="7.5" customHeight="1" x14ac:dyDescent="0.3">
      <c r="B232" s="45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7"/>
    </row>
    <row r="233" spans="2:64" s="2" customFormat="1" ht="14.25" customHeight="1" x14ac:dyDescent="0.3"/>
  </sheetData>
  <sheetProtection password="CC35" sheet="1" objects="1" scenarios="1" formatColumns="0" formatRows="0" sort="0" autoFilter="0"/>
  <mergeCells count="33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M24:P24"/>
    <mergeCell ref="M25:P25"/>
    <mergeCell ref="M27:P27"/>
    <mergeCell ref="H29:J29"/>
    <mergeCell ref="M29:P29"/>
    <mergeCell ref="H30:J30"/>
    <mergeCell ref="M30:P30"/>
    <mergeCell ref="H31:J31"/>
    <mergeCell ref="M31:P31"/>
    <mergeCell ref="H32:J32"/>
    <mergeCell ref="M32:P32"/>
    <mergeCell ref="H33:J33"/>
    <mergeCell ref="M33:P33"/>
    <mergeCell ref="L35:P3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10:Q110"/>
    <mergeCell ref="D111:H111"/>
    <mergeCell ref="N111:Q111"/>
    <mergeCell ref="D112:H112"/>
    <mergeCell ref="N112:Q112"/>
    <mergeCell ref="D113:H113"/>
    <mergeCell ref="N113:Q113"/>
    <mergeCell ref="D114:H114"/>
    <mergeCell ref="N114:Q114"/>
    <mergeCell ref="D115:H115"/>
    <mergeCell ref="N115:Q115"/>
    <mergeCell ref="N116:Q116"/>
    <mergeCell ref="L118:Q118"/>
    <mergeCell ref="C124:Q124"/>
    <mergeCell ref="F126:P126"/>
    <mergeCell ref="F127:P127"/>
    <mergeCell ref="M129:P129"/>
    <mergeCell ref="M131:Q131"/>
    <mergeCell ref="M132:Q132"/>
    <mergeCell ref="F134:I134"/>
    <mergeCell ref="L134:M134"/>
    <mergeCell ref="N134:Q134"/>
    <mergeCell ref="F138:I138"/>
    <mergeCell ref="L138:M138"/>
    <mergeCell ref="N138:Q138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61:I161"/>
    <mergeCell ref="L161:M161"/>
    <mergeCell ref="N161:Q161"/>
    <mergeCell ref="N160:Q160"/>
    <mergeCell ref="F162:I162"/>
    <mergeCell ref="L162:M162"/>
    <mergeCell ref="N162:Q162"/>
    <mergeCell ref="F164:I164"/>
    <mergeCell ref="L164:M164"/>
    <mergeCell ref="N164:Q164"/>
    <mergeCell ref="N163:Q163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9:I169"/>
    <mergeCell ref="L169:M169"/>
    <mergeCell ref="N169:Q169"/>
    <mergeCell ref="N168:Q168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6:I196"/>
    <mergeCell ref="L196:M196"/>
    <mergeCell ref="N196:Q196"/>
    <mergeCell ref="F198:I198"/>
    <mergeCell ref="L198:M198"/>
    <mergeCell ref="N198:Q198"/>
    <mergeCell ref="F199:I199"/>
    <mergeCell ref="L199:M199"/>
    <mergeCell ref="N199:Q199"/>
    <mergeCell ref="F201:I201"/>
    <mergeCell ref="L201:M201"/>
    <mergeCell ref="N201:Q201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8:I218"/>
    <mergeCell ref="L218:M218"/>
    <mergeCell ref="N218:Q218"/>
    <mergeCell ref="N217:Q217"/>
    <mergeCell ref="F219:I219"/>
    <mergeCell ref="L219:M219"/>
    <mergeCell ref="N219:Q219"/>
    <mergeCell ref="F220:I220"/>
    <mergeCell ref="L220:M220"/>
    <mergeCell ref="N220:Q220"/>
    <mergeCell ref="N225:Q225"/>
    <mergeCell ref="F226:I226"/>
    <mergeCell ref="L226:M226"/>
    <mergeCell ref="N226:Q226"/>
    <mergeCell ref="F222:I222"/>
    <mergeCell ref="L222:M222"/>
    <mergeCell ref="N222:Q222"/>
    <mergeCell ref="F224:I224"/>
    <mergeCell ref="L224:M224"/>
    <mergeCell ref="N224:Q224"/>
    <mergeCell ref="N154:Q154"/>
    <mergeCell ref="N159:Q159"/>
    <mergeCell ref="F227:I227"/>
    <mergeCell ref="L227:M227"/>
    <mergeCell ref="N227:Q227"/>
    <mergeCell ref="F229:I229"/>
    <mergeCell ref="L229:M229"/>
    <mergeCell ref="N229:Q229"/>
    <mergeCell ref="F225:I225"/>
    <mergeCell ref="L225:M225"/>
    <mergeCell ref="N202:Q202"/>
    <mergeCell ref="N210:Q210"/>
    <mergeCell ref="F231:I231"/>
    <mergeCell ref="L231:M231"/>
    <mergeCell ref="N231:Q231"/>
    <mergeCell ref="N135:Q135"/>
    <mergeCell ref="N136:Q136"/>
    <mergeCell ref="N137:Q137"/>
    <mergeCell ref="N139:Q139"/>
    <mergeCell ref="N145:Q145"/>
    <mergeCell ref="N221:Q221"/>
    <mergeCell ref="N223:Q223"/>
    <mergeCell ref="N228:Q228"/>
    <mergeCell ref="N230:Q230"/>
    <mergeCell ref="H1:K1"/>
    <mergeCell ref="S2:AC2"/>
    <mergeCell ref="N176:Q176"/>
    <mergeCell ref="N195:Q195"/>
    <mergeCell ref="N197:Q197"/>
    <mergeCell ref="N200:Q200"/>
  </mergeCells>
  <dataValidations count="2">
    <dataValidation type="list" allowBlank="1" showInputMessage="1" showErrorMessage="1" error="Povoleny jsou hodnoty K a M." sqref="D231:D232">
      <formula1>"K,M"</formula1>
    </dataValidation>
    <dataValidation type="list" allowBlank="1" showInputMessage="1" showErrorMessage="1" error="Povoleny jsou hodnoty základní, snížená, zákl. přenesená, sníž. přenesená, nulová." sqref="U231:U232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34" tooltip="Rozpočet" display="3) Rozpočet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3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55"/>
      <c r="B1" s="152"/>
      <c r="C1" s="152"/>
      <c r="D1" s="153" t="s">
        <v>1</v>
      </c>
      <c r="E1" s="152"/>
      <c r="F1" s="154" t="s">
        <v>403</v>
      </c>
      <c r="G1" s="154"/>
      <c r="H1" s="198" t="s">
        <v>404</v>
      </c>
      <c r="I1" s="198"/>
      <c r="J1" s="198"/>
      <c r="K1" s="198"/>
      <c r="L1" s="154" t="s">
        <v>405</v>
      </c>
      <c r="M1" s="152"/>
      <c r="N1" s="152"/>
      <c r="O1" s="153" t="s">
        <v>101</v>
      </c>
      <c r="P1" s="152"/>
      <c r="Q1" s="152"/>
      <c r="R1" s="152"/>
      <c r="S1" s="154" t="s">
        <v>406</v>
      </c>
      <c r="T1" s="154"/>
      <c r="U1" s="155"/>
      <c r="V1" s="15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87" t="s">
        <v>4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S2" s="158" t="s">
        <v>5</v>
      </c>
      <c r="T2" s="159"/>
      <c r="U2" s="159"/>
      <c r="V2" s="159"/>
      <c r="W2" s="159"/>
      <c r="X2" s="159"/>
      <c r="Y2" s="159"/>
      <c r="Z2" s="159"/>
      <c r="AA2" s="159"/>
      <c r="AB2" s="159"/>
      <c r="AC2" s="159"/>
      <c r="AT2" s="2" t="s">
        <v>82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102</v>
      </c>
    </row>
    <row r="4" spans="1:256" s="2" customFormat="1" ht="37.5" customHeight="1" x14ac:dyDescent="0.3">
      <c r="B4" s="10"/>
      <c r="C4" s="176" t="s">
        <v>103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2"/>
      <c r="T4" s="13" t="s">
        <v>10</v>
      </c>
      <c r="AT4" s="2" t="s">
        <v>3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</row>
    <row r="6" spans="1:256" s="2" customFormat="1" ht="15.75" customHeight="1" x14ac:dyDescent="0.3">
      <c r="B6" s="10"/>
      <c r="C6" s="11"/>
      <c r="D6" s="16" t="s">
        <v>14</v>
      </c>
      <c r="E6" s="11"/>
      <c r="F6" s="213" t="str">
        <f>'Rekapitulace stavby'!$K$6</f>
        <v>Gymnazium_Chodovicka - rekonstrukce toalet a invalidní WC</v>
      </c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1"/>
      <c r="R6" s="12"/>
    </row>
    <row r="7" spans="1:256" s="6" customFormat="1" ht="18.75" customHeight="1" x14ac:dyDescent="0.3">
      <c r="B7" s="22"/>
      <c r="C7" s="23"/>
      <c r="D7" s="15" t="s">
        <v>104</v>
      </c>
      <c r="E7" s="23"/>
      <c r="F7" s="177" t="s">
        <v>388</v>
      </c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23"/>
      <c r="R7" s="24"/>
    </row>
    <row r="8" spans="1:256" s="6" customFormat="1" ht="7.5" customHeight="1" x14ac:dyDescent="0.3"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</row>
    <row r="9" spans="1:256" s="6" customFormat="1" ht="15" customHeight="1" x14ac:dyDescent="0.3">
      <c r="B9" s="22"/>
      <c r="C9" s="23"/>
      <c r="D9" s="16" t="s">
        <v>18</v>
      </c>
      <c r="E9" s="23"/>
      <c r="F9" s="17" t="s">
        <v>19</v>
      </c>
      <c r="G9" s="23"/>
      <c r="H9" s="23"/>
      <c r="I9" s="23"/>
      <c r="J9" s="23"/>
      <c r="K9" s="23"/>
      <c r="L9" s="23"/>
      <c r="M9" s="16" t="s">
        <v>20</v>
      </c>
      <c r="N9" s="23"/>
      <c r="O9" s="222" t="str">
        <f>'Rekapitulace stavby'!$AN$8</f>
        <v>17.05.2018</v>
      </c>
      <c r="P9" s="161"/>
      <c r="Q9" s="23"/>
      <c r="R9" s="24"/>
    </row>
    <row r="10" spans="1:256" s="6" customFormat="1" ht="7.5" customHeight="1" x14ac:dyDescent="0.3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</row>
    <row r="11" spans="1:256" s="6" customFormat="1" ht="15" customHeight="1" x14ac:dyDescent="0.3">
      <c r="B11" s="22"/>
      <c r="C11" s="23"/>
      <c r="D11" s="16" t="s">
        <v>24</v>
      </c>
      <c r="E11" s="23"/>
      <c r="F11" s="23"/>
      <c r="G11" s="23"/>
      <c r="H11" s="23"/>
      <c r="I11" s="23"/>
      <c r="J11" s="23"/>
      <c r="K11" s="23"/>
      <c r="L11" s="23"/>
      <c r="M11" s="16" t="s">
        <v>25</v>
      </c>
      <c r="N11" s="23"/>
      <c r="O11" s="178" t="str">
        <f>IF('Rekapitulace stavby'!$AN$10="","",'Rekapitulace stavby'!$AN$10)</f>
        <v/>
      </c>
      <c r="P11" s="161"/>
      <c r="Q11" s="23"/>
      <c r="R11" s="24"/>
    </row>
    <row r="12" spans="1:256" s="6" customFormat="1" ht="18.75" customHeight="1" x14ac:dyDescent="0.3">
      <c r="B12" s="22"/>
      <c r="C12" s="23"/>
      <c r="D12" s="23"/>
      <c r="E12" s="17" t="str">
        <f>IF('Rekapitulace stavby'!$E$11="","",'Rekapitulace stavby'!$E$11)</f>
        <v xml:space="preserve"> </v>
      </c>
      <c r="F12" s="23"/>
      <c r="G12" s="23"/>
      <c r="H12" s="23"/>
      <c r="I12" s="23"/>
      <c r="J12" s="23"/>
      <c r="K12" s="23"/>
      <c r="L12" s="23"/>
      <c r="M12" s="16" t="s">
        <v>27</v>
      </c>
      <c r="N12" s="23"/>
      <c r="O12" s="178" t="str">
        <f>IF('Rekapitulace stavby'!$AN$11="","",'Rekapitulace stavby'!$AN$11)</f>
        <v/>
      </c>
      <c r="P12" s="161"/>
      <c r="Q12" s="23"/>
      <c r="R12" s="24"/>
    </row>
    <row r="13" spans="1:256" s="6" customFormat="1" ht="7.5" customHeight="1" x14ac:dyDescent="0.3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</row>
    <row r="14" spans="1:256" s="6" customFormat="1" ht="15" customHeight="1" x14ac:dyDescent="0.3">
      <c r="B14" s="22"/>
      <c r="C14" s="23"/>
      <c r="D14" s="16" t="s">
        <v>28</v>
      </c>
      <c r="E14" s="23"/>
      <c r="F14" s="23"/>
      <c r="G14" s="23"/>
      <c r="H14" s="23"/>
      <c r="I14" s="23"/>
      <c r="J14" s="23"/>
      <c r="K14" s="23"/>
      <c r="L14" s="23"/>
      <c r="M14" s="16" t="s">
        <v>25</v>
      </c>
      <c r="N14" s="23"/>
      <c r="O14" s="221" t="str">
        <f>IF('Rekapitulace stavby'!$AN$13="","",'Rekapitulace stavby'!$AN$13)</f>
        <v>Vyplň údaj</v>
      </c>
      <c r="P14" s="161"/>
      <c r="Q14" s="23"/>
      <c r="R14" s="24"/>
    </row>
    <row r="15" spans="1:256" s="6" customFormat="1" ht="18.75" customHeight="1" x14ac:dyDescent="0.3">
      <c r="B15" s="22"/>
      <c r="C15" s="23"/>
      <c r="D15" s="23"/>
      <c r="E15" s="221" t="str">
        <f>IF('Rekapitulace stavby'!$E$14="","",'Rekapitulace stavby'!$E$14)</f>
        <v>Vyplň údaj</v>
      </c>
      <c r="F15" s="161"/>
      <c r="G15" s="161"/>
      <c r="H15" s="161"/>
      <c r="I15" s="161"/>
      <c r="J15" s="161"/>
      <c r="K15" s="161"/>
      <c r="L15" s="161"/>
      <c r="M15" s="16" t="s">
        <v>27</v>
      </c>
      <c r="N15" s="23"/>
      <c r="O15" s="221" t="str">
        <f>IF('Rekapitulace stavby'!$AN$14="","",'Rekapitulace stavby'!$AN$14)</f>
        <v>Vyplň údaj</v>
      </c>
      <c r="P15" s="161"/>
      <c r="Q15" s="23"/>
      <c r="R15" s="24"/>
    </row>
    <row r="16" spans="1:256" s="6" customFormat="1" ht="7.5" customHeight="1" x14ac:dyDescent="0.3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2:18" s="6" customFormat="1" ht="15" customHeight="1" x14ac:dyDescent="0.3">
      <c r="B17" s="22"/>
      <c r="C17" s="23"/>
      <c r="D17" s="16" t="s">
        <v>30</v>
      </c>
      <c r="E17" s="23"/>
      <c r="F17" s="23"/>
      <c r="G17" s="23"/>
      <c r="H17" s="23"/>
      <c r="I17" s="23"/>
      <c r="J17" s="23"/>
      <c r="K17" s="23"/>
      <c r="L17" s="23"/>
      <c r="M17" s="16" t="s">
        <v>25</v>
      </c>
      <c r="N17" s="23"/>
      <c r="O17" s="178" t="str">
        <f>IF('Rekapitulace stavby'!$AN$16="","",'Rekapitulace stavby'!$AN$16)</f>
        <v/>
      </c>
      <c r="P17" s="161"/>
      <c r="Q17" s="23"/>
      <c r="R17" s="24"/>
    </row>
    <row r="18" spans="2:18" s="6" customFormat="1" ht="18.75" customHeight="1" x14ac:dyDescent="0.3">
      <c r="B18" s="22"/>
      <c r="C18" s="23"/>
      <c r="D18" s="23"/>
      <c r="E18" s="17" t="str">
        <f>IF('Rekapitulace stavby'!$E$17="","",'Rekapitulace stavby'!$E$17)</f>
        <v xml:space="preserve"> </v>
      </c>
      <c r="F18" s="23"/>
      <c r="G18" s="23"/>
      <c r="H18" s="23"/>
      <c r="I18" s="23"/>
      <c r="J18" s="23"/>
      <c r="K18" s="23"/>
      <c r="L18" s="23"/>
      <c r="M18" s="16" t="s">
        <v>27</v>
      </c>
      <c r="N18" s="23"/>
      <c r="O18" s="178" t="str">
        <f>IF('Rekapitulace stavby'!$AN$17="","",'Rekapitulace stavby'!$AN$17)</f>
        <v/>
      </c>
      <c r="P18" s="161"/>
      <c r="Q18" s="23"/>
      <c r="R18" s="24"/>
    </row>
    <row r="19" spans="2:18" s="6" customFormat="1" ht="7.5" customHeight="1" x14ac:dyDescent="0.3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</row>
    <row r="20" spans="2:18" s="6" customFormat="1" ht="15" customHeight="1" x14ac:dyDescent="0.3">
      <c r="B20" s="22"/>
      <c r="C20" s="23"/>
      <c r="D20" s="16" t="s">
        <v>32</v>
      </c>
      <c r="E20" s="23"/>
      <c r="F20" s="23"/>
      <c r="G20" s="23"/>
      <c r="H20" s="23"/>
      <c r="I20" s="23"/>
      <c r="J20" s="23"/>
      <c r="K20" s="23"/>
      <c r="L20" s="23"/>
      <c r="M20" s="16" t="s">
        <v>25</v>
      </c>
      <c r="N20" s="23"/>
      <c r="O20" s="178" t="str">
        <f>IF('Rekapitulace stavby'!$AN$19="","",'Rekapitulace stavby'!$AN$19)</f>
        <v/>
      </c>
      <c r="P20" s="161"/>
      <c r="Q20" s="23"/>
      <c r="R20" s="24"/>
    </row>
    <row r="21" spans="2:18" s="6" customFormat="1" ht="18.75" customHeight="1" x14ac:dyDescent="0.3">
      <c r="B21" s="22"/>
      <c r="C21" s="23"/>
      <c r="D21" s="23"/>
      <c r="E21" s="17" t="str">
        <f>IF('Rekapitulace stavby'!$E$20="","",'Rekapitulace stavby'!$E$20)</f>
        <v xml:space="preserve"> </v>
      </c>
      <c r="F21" s="23"/>
      <c r="G21" s="23"/>
      <c r="H21" s="23"/>
      <c r="I21" s="23"/>
      <c r="J21" s="23"/>
      <c r="K21" s="23"/>
      <c r="L21" s="23"/>
      <c r="M21" s="16" t="s">
        <v>27</v>
      </c>
      <c r="N21" s="23"/>
      <c r="O21" s="178" t="str">
        <f>IF('Rekapitulace stavby'!$AN$20="","",'Rekapitulace stavby'!$AN$20)</f>
        <v/>
      </c>
      <c r="P21" s="161"/>
      <c r="Q21" s="23"/>
      <c r="R21" s="24"/>
    </row>
    <row r="22" spans="2:18" s="6" customFormat="1" ht="7.5" customHeight="1" x14ac:dyDescent="0.3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</row>
    <row r="23" spans="2:18" s="6" customFormat="1" ht="7.5" customHeight="1" x14ac:dyDescent="0.3">
      <c r="B23" s="22"/>
      <c r="C23" s="23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23"/>
      <c r="R23" s="24"/>
    </row>
    <row r="24" spans="2:18" s="6" customFormat="1" ht="15" customHeight="1" x14ac:dyDescent="0.3">
      <c r="B24" s="22"/>
      <c r="C24" s="23"/>
      <c r="D24" s="96" t="s">
        <v>106</v>
      </c>
      <c r="E24" s="23"/>
      <c r="F24" s="23"/>
      <c r="G24" s="23"/>
      <c r="H24" s="23"/>
      <c r="I24" s="23"/>
      <c r="J24" s="23"/>
      <c r="K24" s="23"/>
      <c r="L24" s="23"/>
      <c r="M24" s="192">
        <f>$N$88</f>
        <v>0</v>
      </c>
      <c r="N24" s="161"/>
      <c r="O24" s="161"/>
      <c r="P24" s="161"/>
      <c r="Q24" s="23"/>
      <c r="R24" s="24"/>
    </row>
    <row r="25" spans="2:18" s="6" customFormat="1" ht="15" customHeight="1" x14ac:dyDescent="0.3">
      <c r="B25" s="22"/>
      <c r="C25" s="23"/>
      <c r="D25" s="21" t="s">
        <v>93</v>
      </c>
      <c r="E25" s="23"/>
      <c r="F25" s="23"/>
      <c r="G25" s="23"/>
      <c r="H25" s="23"/>
      <c r="I25" s="23"/>
      <c r="J25" s="23"/>
      <c r="K25" s="23"/>
      <c r="L25" s="23"/>
      <c r="M25" s="192">
        <f>$N$110</f>
        <v>0</v>
      </c>
      <c r="N25" s="161"/>
      <c r="O25" s="161"/>
      <c r="P25" s="161"/>
      <c r="Q25" s="23"/>
      <c r="R25" s="24"/>
    </row>
    <row r="26" spans="2:18" s="6" customFormat="1" ht="7.5" customHeight="1" x14ac:dyDescent="0.3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/>
    </row>
    <row r="27" spans="2:18" s="6" customFormat="1" ht="26.25" customHeight="1" x14ac:dyDescent="0.3">
      <c r="B27" s="22"/>
      <c r="C27" s="23"/>
      <c r="D27" s="97" t="s">
        <v>35</v>
      </c>
      <c r="E27" s="23"/>
      <c r="F27" s="23"/>
      <c r="G27" s="23"/>
      <c r="H27" s="23"/>
      <c r="I27" s="23"/>
      <c r="J27" s="23"/>
      <c r="K27" s="23"/>
      <c r="L27" s="23"/>
      <c r="M27" s="220">
        <f>ROUNDUP($M$24+$M$25,2)</f>
        <v>0</v>
      </c>
      <c r="N27" s="161"/>
      <c r="O27" s="161"/>
      <c r="P27" s="161"/>
      <c r="Q27" s="23"/>
      <c r="R27" s="24"/>
    </row>
    <row r="28" spans="2:18" s="6" customFormat="1" ht="7.5" customHeight="1" x14ac:dyDescent="0.3">
      <c r="B28" s="22"/>
      <c r="C28" s="23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23"/>
      <c r="R28" s="24"/>
    </row>
    <row r="29" spans="2:18" s="6" customFormat="1" ht="15" customHeight="1" x14ac:dyDescent="0.3">
      <c r="B29" s="22"/>
      <c r="C29" s="23"/>
      <c r="D29" s="28" t="s">
        <v>36</v>
      </c>
      <c r="E29" s="28" t="s">
        <v>37</v>
      </c>
      <c r="F29" s="29">
        <v>0.21</v>
      </c>
      <c r="G29" s="98" t="s">
        <v>38</v>
      </c>
      <c r="H29" s="219">
        <f>ROUNDUP((((SUM($BE$110:$BE$117)+SUM($BE$135:$BE$224))+SUM($BE$226:$BE$226))),2)</f>
        <v>0</v>
      </c>
      <c r="I29" s="161"/>
      <c r="J29" s="161"/>
      <c r="K29" s="23"/>
      <c r="L29" s="23"/>
      <c r="M29" s="219">
        <f>ROUNDUP((((SUM($BE$110:$BE$117)+SUM($BE$135:$BE$224))*$F$29)+SUM($BE$226:$BE$226)*$F$29),1)</f>
        <v>0</v>
      </c>
      <c r="N29" s="161"/>
      <c r="O29" s="161"/>
      <c r="P29" s="161"/>
      <c r="Q29" s="23"/>
      <c r="R29" s="24"/>
    </row>
    <row r="30" spans="2:18" s="6" customFormat="1" ht="15" customHeight="1" x14ac:dyDescent="0.3">
      <c r="B30" s="22"/>
      <c r="C30" s="23"/>
      <c r="D30" s="23"/>
      <c r="E30" s="28" t="s">
        <v>39</v>
      </c>
      <c r="F30" s="29">
        <v>0.15</v>
      </c>
      <c r="G30" s="98" t="s">
        <v>38</v>
      </c>
      <c r="H30" s="219">
        <f>ROUNDUP((((SUM($BF$110:$BF$117)+SUM($BF$135:$BF$224))+SUM($BF$226:$BF$226))),2)</f>
        <v>0</v>
      </c>
      <c r="I30" s="161"/>
      <c r="J30" s="161"/>
      <c r="K30" s="23"/>
      <c r="L30" s="23"/>
      <c r="M30" s="219">
        <f>ROUNDUP((((SUM($BF$110:$BF$117)+SUM($BF$135:$BF$224))*$F$30)+SUM($BF$226:$BF$226)*$F$30),1)</f>
        <v>0</v>
      </c>
      <c r="N30" s="161"/>
      <c r="O30" s="161"/>
      <c r="P30" s="161"/>
      <c r="Q30" s="23"/>
      <c r="R30" s="24"/>
    </row>
    <row r="31" spans="2:18" s="6" customFormat="1" ht="15" hidden="1" customHeight="1" x14ac:dyDescent="0.3">
      <c r="B31" s="22"/>
      <c r="C31" s="23"/>
      <c r="D31" s="23"/>
      <c r="E31" s="28" t="s">
        <v>40</v>
      </c>
      <c r="F31" s="29">
        <v>0.21</v>
      </c>
      <c r="G31" s="98" t="s">
        <v>38</v>
      </c>
      <c r="H31" s="219">
        <f>ROUNDUP((((SUM($BG$110:$BG$117)+SUM($BG$135:$BG$224))+SUM($BG$226:$BG$226))),2)</f>
        <v>0</v>
      </c>
      <c r="I31" s="161"/>
      <c r="J31" s="161"/>
      <c r="K31" s="23"/>
      <c r="L31" s="23"/>
      <c r="M31" s="219">
        <v>0</v>
      </c>
      <c r="N31" s="161"/>
      <c r="O31" s="161"/>
      <c r="P31" s="161"/>
      <c r="Q31" s="23"/>
      <c r="R31" s="24"/>
    </row>
    <row r="32" spans="2:18" s="6" customFormat="1" ht="15" hidden="1" customHeight="1" x14ac:dyDescent="0.3">
      <c r="B32" s="22"/>
      <c r="C32" s="23"/>
      <c r="D32" s="23"/>
      <c r="E32" s="28" t="s">
        <v>41</v>
      </c>
      <c r="F32" s="29">
        <v>0.15</v>
      </c>
      <c r="G32" s="98" t="s">
        <v>38</v>
      </c>
      <c r="H32" s="219">
        <f>ROUNDUP((((SUM($BH$110:$BH$117)+SUM($BH$135:$BH$224))+SUM($BH$226:$BH$226))),2)</f>
        <v>0</v>
      </c>
      <c r="I32" s="161"/>
      <c r="J32" s="161"/>
      <c r="K32" s="23"/>
      <c r="L32" s="23"/>
      <c r="M32" s="219">
        <v>0</v>
      </c>
      <c r="N32" s="161"/>
      <c r="O32" s="161"/>
      <c r="P32" s="161"/>
      <c r="Q32" s="23"/>
      <c r="R32" s="24"/>
    </row>
    <row r="33" spans="2:18" s="6" customFormat="1" ht="15" hidden="1" customHeight="1" x14ac:dyDescent="0.3">
      <c r="B33" s="22"/>
      <c r="C33" s="23"/>
      <c r="D33" s="23"/>
      <c r="E33" s="28" t="s">
        <v>42</v>
      </c>
      <c r="F33" s="29">
        <v>0</v>
      </c>
      <c r="G33" s="98" t="s">
        <v>38</v>
      </c>
      <c r="H33" s="219">
        <f>ROUNDUP((((SUM($BI$110:$BI$117)+SUM($BI$135:$BI$224))+SUM($BI$226:$BI$226))),2)</f>
        <v>0</v>
      </c>
      <c r="I33" s="161"/>
      <c r="J33" s="161"/>
      <c r="K33" s="23"/>
      <c r="L33" s="23"/>
      <c r="M33" s="219">
        <v>0</v>
      </c>
      <c r="N33" s="161"/>
      <c r="O33" s="161"/>
      <c r="P33" s="161"/>
      <c r="Q33" s="23"/>
      <c r="R33" s="24"/>
    </row>
    <row r="34" spans="2:18" s="6" customFormat="1" ht="7.5" customHeight="1" x14ac:dyDescent="0.3"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/>
    </row>
    <row r="35" spans="2:18" s="6" customFormat="1" ht="26.25" customHeight="1" x14ac:dyDescent="0.3">
      <c r="B35" s="22"/>
      <c r="C35" s="32"/>
      <c r="D35" s="33" t="s">
        <v>43</v>
      </c>
      <c r="E35" s="34"/>
      <c r="F35" s="34"/>
      <c r="G35" s="99" t="s">
        <v>44</v>
      </c>
      <c r="H35" s="35" t="s">
        <v>45</v>
      </c>
      <c r="I35" s="34"/>
      <c r="J35" s="34"/>
      <c r="K35" s="34"/>
      <c r="L35" s="175">
        <f>ROUNDUP(SUM($M$27:$M$33),2)</f>
        <v>0</v>
      </c>
      <c r="M35" s="171"/>
      <c r="N35" s="171"/>
      <c r="O35" s="171"/>
      <c r="P35" s="173"/>
      <c r="Q35" s="32"/>
      <c r="R35" s="24"/>
    </row>
    <row r="36" spans="2:18" s="6" customFormat="1" ht="15" customHeight="1" x14ac:dyDescent="0.3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/>
    </row>
    <row r="37" spans="2:18" s="6" customFormat="1" ht="15" customHeight="1" x14ac:dyDescent="0.3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</row>
    <row r="38" spans="2:18" s="2" customFormat="1" ht="14.25" customHeight="1" x14ac:dyDescent="0.3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s="2" customFormat="1" ht="14.25" customHeight="1" x14ac:dyDescent="0.3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</row>
    <row r="40" spans="2:18" s="2" customFormat="1" ht="14.25" customHeight="1" x14ac:dyDescent="0.3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2"/>
    </row>
    <row r="41" spans="2:18" s="2" customFormat="1" ht="14.25" customHeight="1" x14ac:dyDescent="0.3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2"/>
    </row>
    <row r="42" spans="2:18" s="2" customFormat="1" ht="14.25" customHeight="1" x14ac:dyDescent="0.3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s="2" customFormat="1" ht="14.25" customHeight="1" x14ac:dyDescent="0.3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2"/>
    </row>
    <row r="44" spans="2:18" s="2" customFormat="1" ht="14.25" customHeight="1" x14ac:dyDescent="0.3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2"/>
    </row>
    <row r="45" spans="2:18" s="2" customFormat="1" ht="14.25" customHeight="1" x14ac:dyDescent="0.3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2"/>
    </row>
    <row r="46" spans="2:18" s="2" customFormat="1" ht="14.25" customHeight="1" x14ac:dyDescent="0.3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2"/>
    </row>
    <row r="47" spans="2:18" s="2" customFormat="1" ht="14.25" customHeight="1" x14ac:dyDescent="0.3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2"/>
    </row>
    <row r="48" spans="2:18" s="2" customFormat="1" ht="14.25" customHeight="1" x14ac:dyDescent="0.3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2"/>
    </row>
    <row r="49" spans="2:18" s="2" customFormat="1" ht="14.25" customHeight="1" x14ac:dyDescent="0.3"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2"/>
    </row>
    <row r="50" spans="2:18" s="6" customFormat="1" ht="15.75" customHeight="1" x14ac:dyDescent="0.3">
      <c r="B50" s="22"/>
      <c r="C50" s="23"/>
      <c r="D50" s="36" t="s">
        <v>46</v>
      </c>
      <c r="E50" s="37"/>
      <c r="F50" s="37"/>
      <c r="G50" s="37"/>
      <c r="H50" s="38"/>
      <c r="I50" s="23"/>
      <c r="J50" s="36" t="s">
        <v>47</v>
      </c>
      <c r="K50" s="37"/>
      <c r="L50" s="37"/>
      <c r="M50" s="37"/>
      <c r="N50" s="37"/>
      <c r="O50" s="37"/>
      <c r="P50" s="38"/>
      <c r="Q50" s="23"/>
      <c r="R50" s="24"/>
    </row>
    <row r="51" spans="2:18" s="2" customFormat="1" ht="14.25" customHeight="1" x14ac:dyDescent="0.3">
      <c r="B51" s="10"/>
      <c r="C51" s="11"/>
      <c r="D51" s="39"/>
      <c r="E51" s="11"/>
      <c r="F51" s="11"/>
      <c r="G51" s="11"/>
      <c r="H51" s="40"/>
      <c r="I51" s="11"/>
      <c r="J51" s="39"/>
      <c r="K51" s="11"/>
      <c r="L51" s="11"/>
      <c r="M51" s="11"/>
      <c r="N51" s="11"/>
      <c r="O51" s="11"/>
      <c r="P51" s="40"/>
      <c r="Q51" s="11"/>
      <c r="R51" s="12"/>
    </row>
    <row r="52" spans="2:18" s="2" customFormat="1" ht="14.25" customHeight="1" x14ac:dyDescent="0.3">
      <c r="B52" s="10"/>
      <c r="C52" s="11"/>
      <c r="D52" s="39"/>
      <c r="E52" s="11"/>
      <c r="F52" s="11"/>
      <c r="G52" s="11"/>
      <c r="H52" s="40"/>
      <c r="I52" s="11"/>
      <c r="J52" s="39"/>
      <c r="K52" s="11"/>
      <c r="L52" s="11"/>
      <c r="M52" s="11"/>
      <c r="N52" s="11"/>
      <c r="O52" s="11"/>
      <c r="P52" s="40"/>
      <c r="Q52" s="11"/>
      <c r="R52" s="12"/>
    </row>
    <row r="53" spans="2:18" s="2" customFormat="1" ht="14.25" customHeight="1" x14ac:dyDescent="0.3">
      <c r="B53" s="10"/>
      <c r="C53" s="11"/>
      <c r="D53" s="39"/>
      <c r="E53" s="11"/>
      <c r="F53" s="11"/>
      <c r="G53" s="11"/>
      <c r="H53" s="40"/>
      <c r="I53" s="11"/>
      <c r="J53" s="39"/>
      <c r="K53" s="11"/>
      <c r="L53" s="11"/>
      <c r="M53" s="11"/>
      <c r="N53" s="11"/>
      <c r="O53" s="11"/>
      <c r="P53" s="40"/>
      <c r="Q53" s="11"/>
      <c r="R53" s="12"/>
    </row>
    <row r="54" spans="2:18" s="2" customFormat="1" ht="14.25" customHeight="1" x14ac:dyDescent="0.3">
      <c r="B54" s="10"/>
      <c r="C54" s="11"/>
      <c r="D54" s="39"/>
      <c r="E54" s="11"/>
      <c r="F54" s="11"/>
      <c r="G54" s="11"/>
      <c r="H54" s="40"/>
      <c r="I54" s="11"/>
      <c r="J54" s="39"/>
      <c r="K54" s="11"/>
      <c r="L54" s="11"/>
      <c r="M54" s="11"/>
      <c r="N54" s="11"/>
      <c r="O54" s="11"/>
      <c r="P54" s="40"/>
      <c r="Q54" s="11"/>
      <c r="R54" s="12"/>
    </row>
    <row r="55" spans="2:18" s="2" customFormat="1" ht="14.25" customHeight="1" x14ac:dyDescent="0.3">
      <c r="B55" s="10"/>
      <c r="C55" s="11"/>
      <c r="D55" s="39"/>
      <c r="E55" s="11"/>
      <c r="F55" s="11"/>
      <c r="G55" s="11"/>
      <c r="H55" s="40"/>
      <c r="I55" s="11"/>
      <c r="J55" s="39"/>
      <c r="K55" s="11"/>
      <c r="L55" s="11"/>
      <c r="M55" s="11"/>
      <c r="N55" s="11"/>
      <c r="O55" s="11"/>
      <c r="P55" s="40"/>
      <c r="Q55" s="11"/>
      <c r="R55" s="12"/>
    </row>
    <row r="56" spans="2:18" s="2" customFormat="1" ht="14.25" customHeight="1" x14ac:dyDescent="0.3">
      <c r="B56" s="10"/>
      <c r="C56" s="11"/>
      <c r="D56" s="39"/>
      <c r="E56" s="11"/>
      <c r="F56" s="11"/>
      <c r="G56" s="11"/>
      <c r="H56" s="40"/>
      <c r="I56" s="11"/>
      <c r="J56" s="39"/>
      <c r="K56" s="11"/>
      <c r="L56" s="11"/>
      <c r="M56" s="11"/>
      <c r="N56" s="11"/>
      <c r="O56" s="11"/>
      <c r="P56" s="40"/>
      <c r="Q56" s="11"/>
      <c r="R56" s="12"/>
    </row>
    <row r="57" spans="2:18" s="2" customFormat="1" ht="14.25" customHeight="1" x14ac:dyDescent="0.3">
      <c r="B57" s="10"/>
      <c r="C57" s="11"/>
      <c r="D57" s="39"/>
      <c r="E57" s="11"/>
      <c r="F57" s="11"/>
      <c r="G57" s="11"/>
      <c r="H57" s="40"/>
      <c r="I57" s="11"/>
      <c r="J57" s="39"/>
      <c r="K57" s="11"/>
      <c r="L57" s="11"/>
      <c r="M57" s="11"/>
      <c r="N57" s="11"/>
      <c r="O57" s="11"/>
      <c r="P57" s="40"/>
      <c r="Q57" s="11"/>
      <c r="R57" s="12"/>
    </row>
    <row r="58" spans="2:18" s="2" customFormat="1" ht="14.25" customHeight="1" x14ac:dyDescent="0.3">
      <c r="B58" s="10"/>
      <c r="C58" s="11"/>
      <c r="D58" s="39"/>
      <c r="E58" s="11"/>
      <c r="F58" s="11"/>
      <c r="G58" s="11"/>
      <c r="H58" s="40"/>
      <c r="I58" s="11"/>
      <c r="J58" s="39"/>
      <c r="K58" s="11"/>
      <c r="L58" s="11"/>
      <c r="M58" s="11"/>
      <c r="N58" s="11"/>
      <c r="O58" s="11"/>
      <c r="P58" s="40"/>
      <c r="Q58" s="11"/>
      <c r="R58" s="12"/>
    </row>
    <row r="59" spans="2:18" s="6" customFormat="1" ht="15.75" customHeight="1" x14ac:dyDescent="0.3">
      <c r="B59" s="22"/>
      <c r="C59" s="23"/>
      <c r="D59" s="41" t="s">
        <v>48</v>
      </c>
      <c r="E59" s="42"/>
      <c r="F59" s="42"/>
      <c r="G59" s="43" t="s">
        <v>49</v>
      </c>
      <c r="H59" s="44"/>
      <c r="I59" s="23"/>
      <c r="J59" s="41" t="s">
        <v>48</v>
      </c>
      <c r="K59" s="42"/>
      <c r="L59" s="42"/>
      <c r="M59" s="42"/>
      <c r="N59" s="43" t="s">
        <v>49</v>
      </c>
      <c r="O59" s="42"/>
      <c r="P59" s="44"/>
      <c r="Q59" s="23"/>
      <c r="R59" s="24"/>
    </row>
    <row r="60" spans="2:18" s="2" customFormat="1" ht="14.25" customHeight="1" x14ac:dyDescent="0.3"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2"/>
    </row>
    <row r="61" spans="2:18" s="6" customFormat="1" ht="15.75" customHeight="1" x14ac:dyDescent="0.3">
      <c r="B61" s="22"/>
      <c r="C61" s="23"/>
      <c r="D61" s="36" t="s">
        <v>50</v>
      </c>
      <c r="E61" s="37"/>
      <c r="F61" s="37"/>
      <c r="G61" s="37"/>
      <c r="H61" s="38"/>
      <c r="I61" s="23"/>
      <c r="J61" s="36" t="s">
        <v>51</v>
      </c>
      <c r="K61" s="37"/>
      <c r="L61" s="37"/>
      <c r="M61" s="37"/>
      <c r="N61" s="37"/>
      <c r="O61" s="37"/>
      <c r="P61" s="38"/>
      <c r="Q61" s="23"/>
      <c r="R61" s="24"/>
    </row>
    <row r="62" spans="2:18" s="2" customFormat="1" ht="14.25" customHeight="1" x14ac:dyDescent="0.3">
      <c r="B62" s="10"/>
      <c r="C62" s="11"/>
      <c r="D62" s="39"/>
      <c r="E62" s="11"/>
      <c r="F62" s="11"/>
      <c r="G62" s="11"/>
      <c r="H62" s="40"/>
      <c r="I62" s="11"/>
      <c r="J62" s="39"/>
      <c r="K62" s="11"/>
      <c r="L62" s="11"/>
      <c r="M62" s="11"/>
      <c r="N62" s="11"/>
      <c r="O62" s="11"/>
      <c r="P62" s="40"/>
      <c r="Q62" s="11"/>
      <c r="R62" s="12"/>
    </row>
    <row r="63" spans="2:18" s="2" customFormat="1" ht="14.25" customHeight="1" x14ac:dyDescent="0.3">
      <c r="B63" s="10"/>
      <c r="C63" s="11"/>
      <c r="D63" s="39"/>
      <c r="E63" s="11"/>
      <c r="F63" s="11"/>
      <c r="G63" s="11"/>
      <c r="H63" s="40"/>
      <c r="I63" s="11"/>
      <c r="J63" s="39"/>
      <c r="K63" s="11"/>
      <c r="L63" s="11"/>
      <c r="M63" s="11"/>
      <c r="N63" s="11"/>
      <c r="O63" s="11"/>
      <c r="P63" s="40"/>
      <c r="Q63" s="11"/>
      <c r="R63" s="12"/>
    </row>
    <row r="64" spans="2:18" s="2" customFormat="1" ht="14.25" customHeight="1" x14ac:dyDescent="0.3">
      <c r="B64" s="10"/>
      <c r="C64" s="11"/>
      <c r="D64" s="39"/>
      <c r="E64" s="11"/>
      <c r="F64" s="11"/>
      <c r="G64" s="11"/>
      <c r="H64" s="40"/>
      <c r="I64" s="11"/>
      <c r="J64" s="39"/>
      <c r="K64" s="11"/>
      <c r="L64" s="11"/>
      <c r="M64" s="11"/>
      <c r="N64" s="11"/>
      <c r="O64" s="11"/>
      <c r="P64" s="40"/>
      <c r="Q64" s="11"/>
      <c r="R64" s="12"/>
    </row>
    <row r="65" spans="2:21" s="2" customFormat="1" ht="14.25" customHeight="1" x14ac:dyDescent="0.3">
      <c r="B65" s="10"/>
      <c r="C65" s="11"/>
      <c r="D65" s="39"/>
      <c r="E65" s="11"/>
      <c r="F65" s="11"/>
      <c r="G65" s="11"/>
      <c r="H65" s="40"/>
      <c r="I65" s="11"/>
      <c r="J65" s="39"/>
      <c r="K65" s="11"/>
      <c r="L65" s="11"/>
      <c r="M65" s="11"/>
      <c r="N65" s="11"/>
      <c r="O65" s="11"/>
      <c r="P65" s="40"/>
      <c r="Q65" s="11"/>
      <c r="R65" s="12"/>
    </row>
    <row r="66" spans="2:21" s="2" customFormat="1" ht="14.25" customHeight="1" x14ac:dyDescent="0.3">
      <c r="B66" s="10"/>
      <c r="C66" s="11"/>
      <c r="D66" s="39"/>
      <c r="E66" s="11"/>
      <c r="F66" s="11"/>
      <c r="G66" s="11"/>
      <c r="H66" s="40"/>
      <c r="I66" s="11"/>
      <c r="J66" s="39"/>
      <c r="K66" s="11"/>
      <c r="L66" s="11"/>
      <c r="M66" s="11"/>
      <c r="N66" s="11"/>
      <c r="O66" s="11"/>
      <c r="P66" s="40"/>
      <c r="Q66" s="11"/>
      <c r="R66" s="12"/>
    </row>
    <row r="67" spans="2:21" s="2" customFormat="1" ht="14.25" customHeight="1" x14ac:dyDescent="0.3">
      <c r="B67" s="10"/>
      <c r="C67" s="11"/>
      <c r="D67" s="39"/>
      <c r="E67" s="11"/>
      <c r="F67" s="11"/>
      <c r="G67" s="11"/>
      <c r="H67" s="40"/>
      <c r="I67" s="11"/>
      <c r="J67" s="39"/>
      <c r="K67" s="11"/>
      <c r="L67" s="11"/>
      <c r="M67" s="11"/>
      <c r="N67" s="11"/>
      <c r="O67" s="11"/>
      <c r="P67" s="40"/>
      <c r="Q67" s="11"/>
      <c r="R67" s="12"/>
    </row>
    <row r="68" spans="2:21" s="2" customFormat="1" ht="14.25" customHeight="1" x14ac:dyDescent="0.3">
      <c r="B68" s="10"/>
      <c r="C68" s="11"/>
      <c r="D68" s="39"/>
      <c r="E68" s="11"/>
      <c r="F68" s="11"/>
      <c r="G68" s="11"/>
      <c r="H68" s="40"/>
      <c r="I68" s="11"/>
      <c r="J68" s="39"/>
      <c r="K68" s="11"/>
      <c r="L68" s="11"/>
      <c r="M68" s="11"/>
      <c r="N68" s="11"/>
      <c r="O68" s="11"/>
      <c r="P68" s="40"/>
      <c r="Q68" s="11"/>
      <c r="R68" s="12"/>
    </row>
    <row r="69" spans="2:21" s="2" customFormat="1" ht="14.25" customHeight="1" x14ac:dyDescent="0.3">
      <c r="B69" s="10"/>
      <c r="C69" s="11"/>
      <c r="D69" s="39"/>
      <c r="E69" s="11"/>
      <c r="F69" s="11"/>
      <c r="G69" s="11"/>
      <c r="H69" s="40"/>
      <c r="I69" s="11"/>
      <c r="J69" s="39"/>
      <c r="K69" s="11"/>
      <c r="L69" s="11"/>
      <c r="M69" s="11"/>
      <c r="N69" s="11"/>
      <c r="O69" s="11"/>
      <c r="P69" s="40"/>
      <c r="Q69" s="11"/>
      <c r="R69" s="12"/>
    </row>
    <row r="70" spans="2:21" s="6" customFormat="1" ht="15.75" customHeight="1" x14ac:dyDescent="0.3">
      <c r="B70" s="22"/>
      <c r="C70" s="23"/>
      <c r="D70" s="41" t="s">
        <v>48</v>
      </c>
      <c r="E70" s="42"/>
      <c r="F70" s="42"/>
      <c r="G70" s="43" t="s">
        <v>49</v>
      </c>
      <c r="H70" s="44"/>
      <c r="I70" s="23"/>
      <c r="J70" s="41" t="s">
        <v>48</v>
      </c>
      <c r="K70" s="42"/>
      <c r="L70" s="42"/>
      <c r="M70" s="42"/>
      <c r="N70" s="43" t="s">
        <v>49</v>
      </c>
      <c r="O70" s="42"/>
      <c r="P70" s="44"/>
      <c r="Q70" s="23"/>
      <c r="R70" s="24"/>
    </row>
    <row r="71" spans="2:21" s="6" customFormat="1" ht="15" customHeight="1" x14ac:dyDescent="0.3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7"/>
    </row>
    <row r="75" spans="2:21" s="6" customFormat="1" ht="7.5" customHeight="1" x14ac:dyDescent="0.3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2"/>
    </row>
    <row r="76" spans="2:21" s="6" customFormat="1" ht="37.5" customHeight="1" x14ac:dyDescent="0.3">
      <c r="B76" s="22"/>
      <c r="C76" s="176" t="s">
        <v>107</v>
      </c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24"/>
      <c r="T76" s="23"/>
      <c r="U76" s="23"/>
    </row>
    <row r="77" spans="2:21" s="6" customFormat="1" ht="7.5" customHeight="1" x14ac:dyDescent="0.3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  <c r="T77" s="23"/>
      <c r="U77" s="23"/>
    </row>
    <row r="78" spans="2:21" s="6" customFormat="1" ht="15" customHeight="1" x14ac:dyDescent="0.3">
      <c r="B78" s="22"/>
      <c r="C78" s="16" t="s">
        <v>14</v>
      </c>
      <c r="D78" s="23"/>
      <c r="E78" s="23"/>
      <c r="F78" s="213" t="str">
        <f>$F$6</f>
        <v>Gymnazium_Chodovicka - rekonstrukce toalet a invalidní WC</v>
      </c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23"/>
      <c r="R78" s="24"/>
      <c r="T78" s="23"/>
      <c r="U78" s="23"/>
    </row>
    <row r="79" spans="2:21" s="6" customFormat="1" ht="15" customHeight="1" x14ac:dyDescent="0.3">
      <c r="B79" s="22"/>
      <c r="C79" s="15" t="s">
        <v>104</v>
      </c>
      <c r="D79" s="23"/>
      <c r="E79" s="23"/>
      <c r="F79" s="177" t="str">
        <f>$F$7</f>
        <v>SO02 - WC imobilní</v>
      </c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23"/>
      <c r="R79" s="24"/>
      <c r="T79" s="23"/>
      <c r="U79" s="23"/>
    </row>
    <row r="80" spans="2:21" s="6" customFormat="1" ht="7.5" customHeight="1" x14ac:dyDescent="0.3">
      <c r="B80" s="2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4"/>
      <c r="T80" s="23"/>
      <c r="U80" s="23"/>
    </row>
    <row r="81" spans="2:47" s="6" customFormat="1" ht="18.75" customHeight="1" x14ac:dyDescent="0.3">
      <c r="B81" s="22"/>
      <c r="C81" s="16" t="s">
        <v>18</v>
      </c>
      <c r="D81" s="23"/>
      <c r="E81" s="23"/>
      <c r="F81" s="17" t="str">
        <f>$F$9</f>
        <v>Chodovická 2250</v>
      </c>
      <c r="G81" s="23"/>
      <c r="H81" s="23"/>
      <c r="I81" s="23"/>
      <c r="J81" s="23"/>
      <c r="K81" s="16" t="s">
        <v>20</v>
      </c>
      <c r="L81" s="23"/>
      <c r="M81" s="214" t="str">
        <f>IF($O$9="","",$O$9)</f>
        <v>17.05.2018</v>
      </c>
      <c r="N81" s="161"/>
      <c r="O81" s="161"/>
      <c r="P81" s="161"/>
      <c r="Q81" s="23"/>
      <c r="R81" s="24"/>
      <c r="T81" s="23"/>
      <c r="U81" s="23"/>
    </row>
    <row r="82" spans="2:47" s="6" customFormat="1" ht="7.5" customHeight="1" x14ac:dyDescent="0.3"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4"/>
      <c r="T82" s="23"/>
      <c r="U82" s="23"/>
    </row>
    <row r="83" spans="2:47" s="6" customFormat="1" ht="15.75" customHeight="1" x14ac:dyDescent="0.3">
      <c r="B83" s="22"/>
      <c r="C83" s="16" t="s">
        <v>24</v>
      </c>
      <c r="D83" s="23"/>
      <c r="E83" s="23"/>
      <c r="F83" s="17" t="str">
        <f>$E$12</f>
        <v xml:space="preserve"> </v>
      </c>
      <c r="G83" s="23"/>
      <c r="H83" s="23"/>
      <c r="I83" s="23"/>
      <c r="J83" s="23"/>
      <c r="K83" s="16" t="s">
        <v>30</v>
      </c>
      <c r="L83" s="23"/>
      <c r="M83" s="178" t="str">
        <f>$E$18</f>
        <v xml:space="preserve"> </v>
      </c>
      <c r="N83" s="161"/>
      <c r="O83" s="161"/>
      <c r="P83" s="161"/>
      <c r="Q83" s="161"/>
      <c r="R83" s="24"/>
      <c r="T83" s="23"/>
      <c r="U83" s="23"/>
    </row>
    <row r="84" spans="2:47" s="6" customFormat="1" ht="15" customHeight="1" x14ac:dyDescent="0.3">
      <c r="B84" s="22"/>
      <c r="C84" s="16" t="s">
        <v>28</v>
      </c>
      <c r="D84" s="23"/>
      <c r="E84" s="23"/>
      <c r="F84" s="17" t="str">
        <f>IF($E$15="","",$E$15)</f>
        <v>Vyplň údaj</v>
      </c>
      <c r="G84" s="23"/>
      <c r="H84" s="23"/>
      <c r="I84" s="23"/>
      <c r="J84" s="23"/>
      <c r="K84" s="16" t="s">
        <v>32</v>
      </c>
      <c r="L84" s="23"/>
      <c r="M84" s="178" t="str">
        <f>$E$21</f>
        <v xml:space="preserve"> </v>
      </c>
      <c r="N84" s="161"/>
      <c r="O84" s="161"/>
      <c r="P84" s="161"/>
      <c r="Q84" s="161"/>
      <c r="R84" s="24"/>
      <c r="T84" s="23"/>
      <c r="U84" s="23"/>
    </row>
    <row r="85" spans="2:47" s="6" customFormat="1" ht="11.25" customHeight="1" x14ac:dyDescent="0.3"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4"/>
      <c r="T85" s="23"/>
      <c r="U85" s="23"/>
    </row>
    <row r="86" spans="2:47" s="6" customFormat="1" ht="30" customHeight="1" x14ac:dyDescent="0.3">
      <c r="B86" s="22"/>
      <c r="C86" s="218" t="s">
        <v>108</v>
      </c>
      <c r="D86" s="157"/>
      <c r="E86" s="157"/>
      <c r="F86" s="157"/>
      <c r="G86" s="157"/>
      <c r="H86" s="32"/>
      <c r="I86" s="32"/>
      <c r="J86" s="32"/>
      <c r="K86" s="32"/>
      <c r="L86" s="32"/>
      <c r="M86" s="32"/>
      <c r="N86" s="218" t="s">
        <v>109</v>
      </c>
      <c r="O86" s="161"/>
      <c r="P86" s="161"/>
      <c r="Q86" s="161"/>
      <c r="R86" s="24"/>
      <c r="T86" s="23"/>
      <c r="U86" s="23"/>
    </row>
    <row r="87" spans="2:47" s="6" customFormat="1" ht="11.25" customHeight="1" x14ac:dyDescent="0.3">
      <c r="B87" s="2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4"/>
      <c r="T87" s="23"/>
      <c r="U87" s="23"/>
    </row>
    <row r="88" spans="2:47" s="6" customFormat="1" ht="30" customHeight="1" x14ac:dyDescent="0.3">
      <c r="B88" s="22"/>
      <c r="C88" s="66" t="s">
        <v>110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164">
        <f>ROUNDUP($N$135,2)</f>
        <v>0</v>
      </c>
      <c r="O88" s="161"/>
      <c r="P88" s="161"/>
      <c r="Q88" s="161"/>
      <c r="R88" s="24"/>
      <c r="T88" s="23"/>
      <c r="U88" s="23"/>
      <c r="AU88" s="6" t="s">
        <v>111</v>
      </c>
    </row>
    <row r="89" spans="2:47" s="71" customFormat="1" ht="25.5" customHeight="1" x14ac:dyDescent="0.3">
      <c r="B89" s="103"/>
      <c r="C89" s="104"/>
      <c r="D89" s="104" t="s">
        <v>112</v>
      </c>
      <c r="E89" s="104"/>
      <c r="F89" s="104"/>
      <c r="G89" s="104"/>
      <c r="H89" s="104"/>
      <c r="I89" s="104"/>
      <c r="J89" s="104"/>
      <c r="K89" s="104"/>
      <c r="L89" s="104"/>
      <c r="M89" s="104"/>
      <c r="N89" s="215">
        <f>ROUNDUP($N$136,2)</f>
        <v>0</v>
      </c>
      <c r="O89" s="216"/>
      <c r="P89" s="216"/>
      <c r="Q89" s="216"/>
      <c r="R89" s="105"/>
      <c r="T89" s="104"/>
      <c r="U89" s="104"/>
    </row>
    <row r="90" spans="2:47" s="106" customFormat="1" ht="21" customHeight="1" x14ac:dyDescent="0.3">
      <c r="B90" s="107"/>
      <c r="C90" s="84"/>
      <c r="D90" s="84" t="s">
        <v>113</v>
      </c>
      <c r="E90" s="84"/>
      <c r="F90" s="84"/>
      <c r="G90" s="84"/>
      <c r="H90" s="84"/>
      <c r="I90" s="84"/>
      <c r="J90" s="84"/>
      <c r="K90" s="84"/>
      <c r="L90" s="84"/>
      <c r="M90" s="84"/>
      <c r="N90" s="163">
        <f>ROUNDUP($N$137,2)</f>
        <v>0</v>
      </c>
      <c r="O90" s="217"/>
      <c r="P90" s="217"/>
      <c r="Q90" s="217"/>
      <c r="R90" s="108"/>
      <c r="T90" s="84"/>
      <c r="U90" s="84"/>
    </row>
    <row r="91" spans="2:47" s="106" customFormat="1" ht="21" customHeight="1" x14ac:dyDescent="0.3">
      <c r="B91" s="107"/>
      <c r="C91" s="84"/>
      <c r="D91" s="84" t="s">
        <v>114</v>
      </c>
      <c r="E91" s="84"/>
      <c r="F91" s="84"/>
      <c r="G91" s="84"/>
      <c r="H91" s="84"/>
      <c r="I91" s="84"/>
      <c r="J91" s="84"/>
      <c r="K91" s="84"/>
      <c r="L91" s="84"/>
      <c r="M91" s="84"/>
      <c r="N91" s="163">
        <f>ROUNDUP($N$139,2)</f>
        <v>0</v>
      </c>
      <c r="O91" s="217"/>
      <c r="P91" s="217"/>
      <c r="Q91" s="217"/>
      <c r="R91" s="108"/>
      <c r="T91" s="84"/>
      <c r="U91" s="84"/>
    </row>
    <row r="92" spans="2:47" s="106" customFormat="1" ht="21" customHeight="1" x14ac:dyDescent="0.3">
      <c r="B92" s="107"/>
      <c r="C92" s="84"/>
      <c r="D92" s="84" t="s">
        <v>115</v>
      </c>
      <c r="E92" s="84"/>
      <c r="F92" s="84"/>
      <c r="G92" s="84"/>
      <c r="H92" s="84"/>
      <c r="I92" s="84"/>
      <c r="J92" s="84"/>
      <c r="K92" s="84"/>
      <c r="L92" s="84"/>
      <c r="M92" s="84"/>
      <c r="N92" s="163">
        <f>ROUNDUP($N$145,2)</f>
        <v>0</v>
      </c>
      <c r="O92" s="217"/>
      <c r="P92" s="217"/>
      <c r="Q92" s="217"/>
      <c r="R92" s="108"/>
      <c r="T92" s="84"/>
      <c r="U92" s="84"/>
    </row>
    <row r="93" spans="2:47" s="106" customFormat="1" ht="15.75" customHeight="1" x14ac:dyDescent="0.3">
      <c r="B93" s="107"/>
      <c r="C93" s="84"/>
      <c r="D93" s="84" t="s">
        <v>116</v>
      </c>
      <c r="E93" s="84"/>
      <c r="F93" s="84"/>
      <c r="G93" s="84"/>
      <c r="H93" s="84"/>
      <c r="I93" s="84"/>
      <c r="J93" s="84"/>
      <c r="K93" s="84"/>
      <c r="L93" s="84"/>
      <c r="M93" s="84"/>
      <c r="N93" s="163">
        <f>ROUNDUP($N$154,2)</f>
        <v>0</v>
      </c>
      <c r="O93" s="217"/>
      <c r="P93" s="217"/>
      <c r="Q93" s="217"/>
      <c r="R93" s="108"/>
      <c r="T93" s="84"/>
      <c r="U93" s="84"/>
    </row>
    <row r="94" spans="2:47" s="71" customFormat="1" ht="25.5" customHeight="1" x14ac:dyDescent="0.3">
      <c r="B94" s="103"/>
      <c r="C94" s="104"/>
      <c r="D94" s="104" t="s">
        <v>117</v>
      </c>
      <c r="E94" s="104"/>
      <c r="F94" s="104"/>
      <c r="G94" s="104"/>
      <c r="H94" s="104"/>
      <c r="I94" s="104"/>
      <c r="J94" s="104"/>
      <c r="K94" s="104"/>
      <c r="L94" s="104"/>
      <c r="M94" s="104"/>
      <c r="N94" s="215">
        <f>ROUNDUP($N$159,2)</f>
        <v>0</v>
      </c>
      <c r="O94" s="216"/>
      <c r="P94" s="216"/>
      <c r="Q94" s="216"/>
      <c r="R94" s="105"/>
      <c r="T94" s="104"/>
      <c r="U94" s="104"/>
    </row>
    <row r="95" spans="2:47" s="106" customFormat="1" ht="21" customHeight="1" x14ac:dyDescent="0.3">
      <c r="B95" s="107"/>
      <c r="C95" s="84"/>
      <c r="D95" s="84" t="s">
        <v>118</v>
      </c>
      <c r="E95" s="84"/>
      <c r="F95" s="84"/>
      <c r="G95" s="84"/>
      <c r="H95" s="84"/>
      <c r="I95" s="84"/>
      <c r="J95" s="84"/>
      <c r="K95" s="84"/>
      <c r="L95" s="84"/>
      <c r="M95" s="84"/>
      <c r="N95" s="163">
        <f>ROUNDUP($N$160,2)</f>
        <v>0</v>
      </c>
      <c r="O95" s="217"/>
      <c r="P95" s="217"/>
      <c r="Q95" s="217"/>
      <c r="R95" s="108"/>
      <c r="T95" s="84"/>
      <c r="U95" s="84"/>
    </row>
    <row r="96" spans="2:47" s="106" customFormat="1" ht="21" customHeight="1" x14ac:dyDescent="0.3">
      <c r="B96" s="107"/>
      <c r="C96" s="84"/>
      <c r="D96" s="84" t="s">
        <v>119</v>
      </c>
      <c r="E96" s="84"/>
      <c r="F96" s="84"/>
      <c r="G96" s="84"/>
      <c r="H96" s="84"/>
      <c r="I96" s="84"/>
      <c r="J96" s="84"/>
      <c r="K96" s="84"/>
      <c r="L96" s="84"/>
      <c r="M96" s="84"/>
      <c r="N96" s="163">
        <f>ROUNDUP($N$163,2)</f>
        <v>0</v>
      </c>
      <c r="O96" s="217"/>
      <c r="P96" s="217"/>
      <c r="Q96" s="217"/>
      <c r="R96" s="108"/>
      <c r="T96" s="84"/>
      <c r="U96" s="84"/>
    </row>
    <row r="97" spans="2:62" s="106" customFormat="1" ht="21" customHeight="1" x14ac:dyDescent="0.3">
      <c r="B97" s="107"/>
      <c r="C97" s="84"/>
      <c r="D97" s="84" t="s">
        <v>120</v>
      </c>
      <c r="E97" s="84"/>
      <c r="F97" s="84"/>
      <c r="G97" s="84"/>
      <c r="H97" s="84"/>
      <c r="I97" s="84"/>
      <c r="J97" s="84"/>
      <c r="K97" s="84"/>
      <c r="L97" s="84"/>
      <c r="M97" s="84"/>
      <c r="N97" s="163">
        <f>ROUNDUP($N$168,2)</f>
        <v>0</v>
      </c>
      <c r="O97" s="217"/>
      <c r="P97" s="217"/>
      <c r="Q97" s="217"/>
      <c r="R97" s="108"/>
      <c r="T97" s="84"/>
      <c r="U97" s="84"/>
    </row>
    <row r="98" spans="2:62" s="106" customFormat="1" ht="21" customHeight="1" x14ac:dyDescent="0.3">
      <c r="B98" s="107"/>
      <c r="C98" s="84"/>
      <c r="D98" s="84" t="s">
        <v>121</v>
      </c>
      <c r="E98" s="84"/>
      <c r="F98" s="84"/>
      <c r="G98" s="84"/>
      <c r="H98" s="84"/>
      <c r="I98" s="84"/>
      <c r="J98" s="84"/>
      <c r="K98" s="84"/>
      <c r="L98" s="84"/>
      <c r="M98" s="84"/>
      <c r="N98" s="163">
        <f>ROUNDUP($N$176,2)</f>
        <v>0</v>
      </c>
      <c r="O98" s="217"/>
      <c r="P98" s="217"/>
      <c r="Q98" s="217"/>
      <c r="R98" s="108"/>
      <c r="T98" s="84"/>
      <c r="U98" s="84"/>
    </row>
    <row r="99" spans="2:62" s="106" customFormat="1" ht="21" customHeight="1" x14ac:dyDescent="0.3">
      <c r="B99" s="107"/>
      <c r="C99" s="84"/>
      <c r="D99" s="84" t="s">
        <v>122</v>
      </c>
      <c r="E99" s="84"/>
      <c r="F99" s="84"/>
      <c r="G99" s="84"/>
      <c r="H99" s="84"/>
      <c r="I99" s="84"/>
      <c r="J99" s="84"/>
      <c r="K99" s="84"/>
      <c r="L99" s="84"/>
      <c r="M99" s="84"/>
      <c r="N99" s="163">
        <f>ROUNDUP($N$192,2)</f>
        <v>0</v>
      </c>
      <c r="O99" s="217"/>
      <c r="P99" s="217"/>
      <c r="Q99" s="217"/>
      <c r="R99" s="108"/>
      <c r="T99" s="84"/>
      <c r="U99" s="84"/>
    </row>
    <row r="100" spans="2:62" s="106" customFormat="1" ht="21" customHeight="1" x14ac:dyDescent="0.3">
      <c r="B100" s="107"/>
      <c r="C100" s="84"/>
      <c r="D100" s="84" t="s">
        <v>123</v>
      </c>
      <c r="E100" s="84"/>
      <c r="F100" s="84"/>
      <c r="G100" s="84"/>
      <c r="H100" s="84"/>
      <c r="I100" s="84"/>
      <c r="J100" s="84"/>
      <c r="K100" s="84"/>
      <c r="L100" s="84"/>
      <c r="M100" s="84"/>
      <c r="N100" s="163">
        <f>ROUNDUP($N$194,2)</f>
        <v>0</v>
      </c>
      <c r="O100" s="217"/>
      <c r="P100" s="217"/>
      <c r="Q100" s="217"/>
      <c r="R100" s="108"/>
      <c r="T100" s="84"/>
      <c r="U100" s="84"/>
    </row>
    <row r="101" spans="2:62" s="106" customFormat="1" ht="21" customHeight="1" x14ac:dyDescent="0.3">
      <c r="B101" s="107"/>
      <c r="C101" s="84"/>
      <c r="D101" s="84" t="s">
        <v>124</v>
      </c>
      <c r="E101" s="84"/>
      <c r="F101" s="84"/>
      <c r="G101" s="84"/>
      <c r="H101" s="84"/>
      <c r="I101" s="84"/>
      <c r="J101" s="84"/>
      <c r="K101" s="84"/>
      <c r="L101" s="84"/>
      <c r="M101" s="84"/>
      <c r="N101" s="163">
        <f>ROUNDUP($N$197,2)</f>
        <v>0</v>
      </c>
      <c r="O101" s="217"/>
      <c r="P101" s="217"/>
      <c r="Q101" s="217"/>
      <c r="R101" s="108"/>
      <c r="T101" s="84"/>
      <c r="U101" s="84"/>
    </row>
    <row r="102" spans="2:62" s="106" customFormat="1" ht="21" customHeight="1" x14ac:dyDescent="0.3">
      <c r="B102" s="107"/>
      <c r="C102" s="84"/>
      <c r="D102" s="84" t="s">
        <v>125</v>
      </c>
      <c r="E102" s="84"/>
      <c r="F102" s="84"/>
      <c r="G102" s="84"/>
      <c r="H102" s="84"/>
      <c r="I102" s="84"/>
      <c r="J102" s="84"/>
      <c r="K102" s="84"/>
      <c r="L102" s="84"/>
      <c r="M102" s="84"/>
      <c r="N102" s="163">
        <f>ROUNDUP($N$199,2)</f>
        <v>0</v>
      </c>
      <c r="O102" s="217"/>
      <c r="P102" s="217"/>
      <c r="Q102" s="217"/>
      <c r="R102" s="108"/>
      <c r="T102" s="84"/>
      <c r="U102" s="84"/>
    </row>
    <row r="103" spans="2:62" s="106" customFormat="1" ht="21" customHeight="1" x14ac:dyDescent="0.3">
      <c r="B103" s="107"/>
      <c r="C103" s="84"/>
      <c r="D103" s="84" t="s">
        <v>126</v>
      </c>
      <c r="E103" s="84"/>
      <c r="F103" s="84"/>
      <c r="G103" s="84"/>
      <c r="H103" s="84"/>
      <c r="I103" s="84"/>
      <c r="J103" s="84"/>
      <c r="K103" s="84"/>
      <c r="L103" s="84"/>
      <c r="M103" s="84"/>
      <c r="N103" s="163">
        <f>ROUNDUP($N$205,2)</f>
        <v>0</v>
      </c>
      <c r="O103" s="217"/>
      <c r="P103" s="217"/>
      <c r="Q103" s="217"/>
      <c r="R103" s="108"/>
      <c r="T103" s="84"/>
      <c r="U103" s="84"/>
    </row>
    <row r="104" spans="2:62" s="106" customFormat="1" ht="21" customHeight="1" x14ac:dyDescent="0.3">
      <c r="B104" s="107"/>
      <c r="C104" s="84"/>
      <c r="D104" s="84" t="s">
        <v>127</v>
      </c>
      <c r="E104" s="84"/>
      <c r="F104" s="84"/>
      <c r="G104" s="84"/>
      <c r="H104" s="84"/>
      <c r="I104" s="84"/>
      <c r="J104" s="84"/>
      <c r="K104" s="84"/>
      <c r="L104" s="84"/>
      <c r="M104" s="84"/>
      <c r="N104" s="163">
        <f>ROUNDUP($N$212,2)</f>
        <v>0</v>
      </c>
      <c r="O104" s="217"/>
      <c r="P104" s="217"/>
      <c r="Q104" s="217"/>
      <c r="R104" s="108"/>
      <c r="T104" s="84"/>
      <c r="U104" s="84"/>
    </row>
    <row r="105" spans="2:62" s="106" customFormat="1" ht="21" customHeight="1" x14ac:dyDescent="0.3">
      <c r="B105" s="107"/>
      <c r="C105" s="84"/>
      <c r="D105" s="84" t="s">
        <v>128</v>
      </c>
      <c r="E105" s="84"/>
      <c r="F105" s="84"/>
      <c r="G105" s="84"/>
      <c r="H105" s="84"/>
      <c r="I105" s="84"/>
      <c r="J105" s="84"/>
      <c r="K105" s="84"/>
      <c r="L105" s="84"/>
      <c r="M105" s="84"/>
      <c r="N105" s="163">
        <f>ROUNDUP($N$216,2)</f>
        <v>0</v>
      </c>
      <c r="O105" s="217"/>
      <c r="P105" s="217"/>
      <c r="Q105" s="217"/>
      <c r="R105" s="108"/>
      <c r="T105" s="84"/>
      <c r="U105" s="84"/>
    </row>
    <row r="106" spans="2:62" s="106" customFormat="1" ht="21" customHeight="1" x14ac:dyDescent="0.3">
      <c r="B106" s="107"/>
      <c r="C106" s="84"/>
      <c r="D106" s="84" t="s">
        <v>129</v>
      </c>
      <c r="E106" s="84"/>
      <c r="F106" s="84"/>
      <c r="G106" s="84"/>
      <c r="H106" s="84"/>
      <c r="I106" s="84"/>
      <c r="J106" s="84"/>
      <c r="K106" s="84"/>
      <c r="L106" s="84"/>
      <c r="M106" s="84"/>
      <c r="N106" s="163">
        <f>ROUNDUP($N$218,2)</f>
        <v>0</v>
      </c>
      <c r="O106" s="217"/>
      <c r="P106" s="217"/>
      <c r="Q106" s="217"/>
      <c r="R106" s="108"/>
      <c r="T106" s="84"/>
      <c r="U106" s="84"/>
    </row>
    <row r="107" spans="2:62" s="71" customFormat="1" ht="25.5" customHeight="1" x14ac:dyDescent="0.3">
      <c r="B107" s="103"/>
      <c r="C107" s="104"/>
      <c r="D107" s="104" t="s">
        <v>130</v>
      </c>
      <c r="E107" s="104"/>
      <c r="F107" s="104"/>
      <c r="G107" s="104"/>
      <c r="H107" s="104"/>
      <c r="I107" s="104"/>
      <c r="J107" s="104"/>
      <c r="K107" s="104"/>
      <c r="L107" s="104"/>
      <c r="M107" s="104"/>
      <c r="N107" s="215">
        <f>ROUNDUP($N$223,2)</f>
        <v>0</v>
      </c>
      <c r="O107" s="216"/>
      <c r="P107" s="216"/>
      <c r="Q107" s="216"/>
      <c r="R107" s="105"/>
      <c r="T107" s="104"/>
      <c r="U107" s="104"/>
    </row>
    <row r="108" spans="2:62" s="71" customFormat="1" ht="22.5" customHeight="1" x14ac:dyDescent="0.35">
      <c r="B108" s="103"/>
      <c r="C108" s="104"/>
      <c r="D108" s="104" t="s">
        <v>131</v>
      </c>
      <c r="E108" s="104"/>
      <c r="F108" s="104"/>
      <c r="G108" s="104"/>
      <c r="H108" s="104"/>
      <c r="I108" s="104"/>
      <c r="J108" s="104"/>
      <c r="K108" s="104"/>
      <c r="L108" s="104"/>
      <c r="M108" s="104"/>
      <c r="N108" s="197">
        <f>$N$225</f>
        <v>0</v>
      </c>
      <c r="O108" s="216"/>
      <c r="P108" s="216"/>
      <c r="Q108" s="216"/>
      <c r="R108" s="105"/>
      <c r="T108" s="104"/>
      <c r="U108" s="104"/>
    </row>
    <row r="109" spans="2:62" s="6" customFormat="1" ht="22.5" customHeight="1" x14ac:dyDescent="0.3"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T109" s="23"/>
      <c r="U109" s="23"/>
    </row>
    <row r="110" spans="2:62" s="6" customFormat="1" ht="30" customHeight="1" x14ac:dyDescent="0.3">
      <c r="B110" s="22"/>
      <c r="C110" s="66" t="s">
        <v>132</v>
      </c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164">
        <f>ROUNDUP($N$111+$N$112+$N$113+$N$114+$N$115+$N$116,2)</f>
        <v>0</v>
      </c>
      <c r="O110" s="161"/>
      <c r="P110" s="161"/>
      <c r="Q110" s="161"/>
      <c r="R110" s="24"/>
      <c r="T110" s="109"/>
      <c r="U110" s="110" t="s">
        <v>36</v>
      </c>
    </row>
    <row r="111" spans="2:62" s="6" customFormat="1" ht="18.75" customHeight="1" x14ac:dyDescent="0.3">
      <c r="B111" s="22"/>
      <c r="C111" s="23"/>
      <c r="D111" s="160" t="s">
        <v>133</v>
      </c>
      <c r="E111" s="161"/>
      <c r="F111" s="161"/>
      <c r="G111" s="161"/>
      <c r="H111" s="161"/>
      <c r="I111" s="23"/>
      <c r="J111" s="23"/>
      <c r="K111" s="23"/>
      <c r="L111" s="23"/>
      <c r="M111" s="23"/>
      <c r="N111" s="162">
        <f>ROUNDUP($N$88*$T$111,2)</f>
        <v>0</v>
      </c>
      <c r="O111" s="161"/>
      <c r="P111" s="161"/>
      <c r="Q111" s="161"/>
      <c r="R111" s="24"/>
      <c r="T111" s="111"/>
      <c r="U111" s="112" t="s">
        <v>37</v>
      </c>
      <c r="AY111" s="6" t="s">
        <v>134</v>
      </c>
      <c r="BE111" s="88">
        <f>IF($U$111="základní",$N$111,0)</f>
        <v>0</v>
      </c>
      <c r="BF111" s="88">
        <f>IF($U$111="snížená",$N$111,0)</f>
        <v>0</v>
      </c>
      <c r="BG111" s="88">
        <f>IF($U$111="zákl. přenesená",$N$111,0)</f>
        <v>0</v>
      </c>
      <c r="BH111" s="88">
        <f>IF($U$111="sníž. přenesená",$N$111,0)</f>
        <v>0</v>
      </c>
      <c r="BI111" s="88">
        <f>IF($U$111="nulová",$N$111,0)</f>
        <v>0</v>
      </c>
      <c r="BJ111" s="6" t="s">
        <v>17</v>
      </c>
    </row>
    <row r="112" spans="2:62" s="6" customFormat="1" ht="18.75" customHeight="1" x14ac:dyDescent="0.3">
      <c r="B112" s="22"/>
      <c r="C112" s="23"/>
      <c r="D112" s="160" t="s">
        <v>135</v>
      </c>
      <c r="E112" s="161"/>
      <c r="F112" s="161"/>
      <c r="G112" s="161"/>
      <c r="H112" s="161"/>
      <c r="I112" s="23"/>
      <c r="J112" s="23"/>
      <c r="K112" s="23"/>
      <c r="L112" s="23"/>
      <c r="M112" s="23"/>
      <c r="N112" s="162">
        <f>ROUNDUP($N$88*$T$112,2)</f>
        <v>0</v>
      </c>
      <c r="O112" s="161"/>
      <c r="P112" s="161"/>
      <c r="Q112" s="161"/>
      <c r="R112" s="24"/>
      <c r="T112" s="111"/>
      <c r="U112" s="112" t="s">
        <v>37</v>
      </c>
      <c r="AY112" s="6" t="s">
        <v>134</v>
      </c>
      <c r="BE112" s="88">
        <f>IF($U$112="základní",$N$112,0)</f>
        <v>0</v>
      </c>
      <c r="BF112" s="88">
        <f>IF($U$112="snížená",$N$112,0)</f>
        <v>0</v>
      </c>
      <c r="BG112" s="88">
        <f>IF($U$112="zákl. přenesená",$N$112,0)</f>
        <v>0</v>
      </c>
      <c r="BH112" s="88">
        <f>IF($U$112="sníž. přenesená",$N$112,0)</f>
        <v>0</v>
      </c>
      <c r="BI112" s="88">
        <f>IF($U$112="nulová",$N$112,0)</f>
        <v>0</v>
      </c>
      <c r="BJ112" s="6" t="s">
        <v>17</v>
      </c>
    </row>
    <row r="113" spans="2:62" s="6" customFormat="1" ht="18.75" customHeight="1" x14ac:dyDescent="0.3">
      <c r="B113" s="22"/>
      <c r="C113" s="23"/>
      <c r="D113" s="160" t="s">
        <v>136</v>
      </c>
      <c r="E113" s="161"/>
      <c r="F113" s="161"/>
      <c r="G113" s="161"/>
      <c r="H113" s="161"/>
      <c r="I113" s="23"/>
      <c r="J113" s="23"/>
      <c r="K113" s="23"/>
      <c r="L113" s="23"/>
      <c r="M113" s="23"/>
      <c r="N113" s="162">
        <f>ROUNDUP($N$88*$T$113,2)</f>
        <v>0</v>
      </c>
      <c r="O113" s="161"/>
      <c r="P113" s="161"/>
      <c r="Q113" s="161"/>
      <c r="R113" s="24"/>
      <c r="T113" s="111"/>
      <c r="U113" s="112" t="s">
        <v>37</v>
      </c>
      <c r="AY113" s="6" t="s">
        <v>134</v>
      </c>
      <c r="BE113" s="88">
        <f>IF($U$113="základní",$N$113,0)</f>
        <v>0</v>
      </c>
      <c r="BF113" s="88">
        <f>IF($U$113="snížená",$N$113,0)</f>
        <v>0</v>
      </c>
      <c r="BG113" s="88">
        <f>IF($U$113="zákl. přenesená",$N$113,0)</f>
        <v>0</v>
      </c>
      <c r="BH113" s="88">
        <f>IF($U$113="sníž. přenesená",$N$113,0)</f>
        <v>0</v>
      </c>
      <c r="BI113" s="88">
        <f>IF($U$113="nulová",$N$113,0)</f>
        <v>0</v>
      </c>
      <c r="BJ113" s="6" t="s">
        <v>17</v>
      </c>
    </row>
    <row r="114" spans="2:62" s="6" customFormat="1" ht="18.75" customHeight="1" x14ac:dyDescent="0.3">
      <c r="B114" s="22"/>
      <c r="C114" s="23"/>
      <c r="D114" s="160" t="s">
        <v>137</v>
      </c>
      <c r="E114" s="161"/>
      <c r="F114" s="161"/>
      <c r="G114" s="161"/>
      <c r="H114" s="161"/>
      <c r="I114" s="23"/>
      <c r="J114" s="23"/>
      <c r="K114" s="23"/>
      <c r="L114" s="23"/>
      <c r="M114" s="23"/>
      <c r="N114" s="162">
        <f>ROUNDUP($N$88*$T$114,2)</f>
        <v>0</v>
      </c>
      <c r="O114" s="161"/>
      <c r="P114" s="161"/>
      <c r="Q114" s="161"/>
      <c r="R114" s="24"/>
      <c r="T114" s="111"/>
      <c r="U114" s="112" t="s">
        <v>37</v>
      </c>
      <c r="AY114" s="6" t="s">
        <v>134</v>
      </c>
      <c r="BE114" s="88">
        <f>IF($U$114="základní",$N$114,0)</f>
        <v>0</v>
      </c>
      <c r="BF114" s="88">
        <f>IF($U$114="snížená",$N$114,0)</f>
        <v>0</v>
      </c>
      <c r="BG114" s="88">
        <f>IF($U$114="zákl. přenesená",$N$114,0)</f>
        <v>0</v>
      </c>
      <c r="BH114" s="88">
        <f>IF($U$114="sníž. přenesená",$N$114,0)</f>
        <v>0</v>
      </c>
      <c r="BI114" s="88">
        <f>IF($U$114="nulová",$N$114,0)</f>
        <v>0</v>
      </c>
      <c r="BJ114" s="6" t="s">
        <v>17</v>
      </c>
    </row>
    <row r="115" spans="2:62" s="6" customFormat="1" ht="18.75" customHeight="1" x14ac:dyDescent="0.3">
      <c r="B115" s="22"/>
      <c r="C115" s="23"/>
      <c r="D115" s="160" t="s">
        <v>138</v>
      </c>
      <c r="E115" s="161"/>
      <c r="F115" s="161"/>
      <c r="G115" s="161"/>
      <c r="H115" s="161"/>
      <c r="I115" s="23"/>
      <c r="J115" s="23"/>
      <c r="K115" s="23"/>
      <c r="L115" s="23"/>
      <c r="M115" s="23"/>
      <c r="N115" s="162">
        <f>ROUNDUP($N$88*$T$115,2)</f>
        <v>0</v>
      </c>
      <c r="O115" s="161"/>
      <c r="P115" s="161"/>
      <c r="Q115" s="161"/>
      <c r="R115" s="24"/>
      <c r="T115" s="111"/>
      <c r="U115" s="112" t="s">
        <v>37</v>
      </c>
      <c r="AY115" s="6" t="s">
        <v>134</v>
      </c>
      <c r="BE115" s="88">
        <f>IF($U$115="základní",$N$115,0)</f>
        <v>0</v>
      </c>
      <c r="BF115" s="88">
        <f>IF($U$115="snížená",$N$115,0)</f>
        <v>0</v>
      </c>
      <c r="BG115" s="88">
        <f>IF($U$115="zákl. přenesená",$N$115,0)</f>
        <v>0</v>
      </c>
      <c r="BH115" s="88">
        <f>IF($U$115="sníž. přenesená",$N$115,0)</f>
        <v>0</v>
      </c>
      <c r="BI115" s="88">
        <f>IF($U$115="nulová",$N$115,0)</f>
        <v>0</v>
      </c>
      <c r="BJ115" s="6" t="s">
        <v>17</v>
      </c>
    </row>
    <row r="116" spans="2:62" s="6" customFormat="1" ht="18.75" customHeight="1" x14ac:dyDescent="0.3">
      <c r="B116" s="22"/>
      <c r="C116" s="23"/>
      <c r="D116" s="84" t="s">
        <v>139</v>
      </c>
      <c r="E116" s="23"/>
      <c r="F116" s="23"/>
      <c r="G116" s="23"/>
      <c r="H116" s="23"/>
      <c r="I116" s="23"/>
      <c r="J116" s="23"/>
      <c r="K116" s="23"/>
      <c r="L116" s="23"/>
      <c r="M116" s="23"/>
      <c r="N116" s="162">
        <f>ROUNDUP($N$88*$T$116,2)</f>
        <v>0</v>
      </c>
      <c r="O116" s="161"/>
      <c r="P116" s="161"/>
      <c r="Q116" s="161"/>
      <c r="R116" s="24"/>
      <c r="T116" s="113"/>
      <c r="U116" s="114" t="s">
        <v>37</v>
      </c>
      <c r="AY116" s="6" t="s">
        <v>140</v>
      </c>
      <c r="BE116" s="88">
        <f>IF($U$116="základní",$N$116,0)</f>
        <v>0</v>
      </c>
      <c r="BF116" s="88">
        <f>IF($U$116="snížená",$N$116,0)</f>
        <v>0</v>
      </c>
      <c r="BG116" s="88">
        <f>IF($U$116="zákl. přenesená",$N$116,0)</f>
        <v>0</v>
      </c>
      <c r="BH116" s="88">
        <f>IF($U$116="sníž. přenesená",$N$116,0)</f>
        <v>0</v>
      </c>
      <c r="BI116" s="88">
        <f>IF($U$116="nulová",$N$116,0)</f>
        <v>0</v>
      </c>
      <c r="BJ116" s="6" t="s">
        <v>17</v>
      </c>
    </row>
    <row r="117" spans="2:62" s="6" customFormat="1" ht="14.25" customHeight="1" x14ac:dyDescent="0.3"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4"/>
      <c r="T117" s="23"/>
      <c r="U117" s="23"/>
    </row>
    <row r="118" spans="2:62" s="6" customFormat="1" ht="30" customHeight="1" x14ac:dyDescent="0.3">
      <c r="B118" s="22"/>
      <c r="C118" s="95" t="s">
        <v>100</v>
      </c>
      <c r="D118" s="32"/>
      <c r="E118" s="32"/>
      <c r="F118" s="32"/>
      <c r="G118" s="32"/>
      <c r="H118" s="32"/>
      <c r="I118" s="32"/>
      <c r="J118" s="32"/>
      <c r="K118" s="32"/>
      <c r="L118" s="156">
        <f>ROUNDUP(SUM($N$88+$N$110),2)</f>
        <v>0</v>
      </c>
      <c r="M118" s="157"/>
      <c r="N118" s="157"/>
      <c r="O118" s="157"/>
      <c r="P118" s="157"/>
      <c r="Q118" s="157"/>
      <c r="R118" s="24"/>
      <c r="T118" s="23"/>
      <c r="U118" s="23"/>
    </row>
    <row r="119" spans="2:62" s="6" customFormat="1" ht="7.5" customHeight="1" x14ac:dyDescent="0.3"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7"/>
      <c r="T119" s="23"/>
      <c r="U119" s="23"/>
    </row>
    <row r="123" spans="2:62" s="6" customFormat="1" ht="7.5" customHeight="1" x14ac:dyDescent="0.3"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50"/>
    </row>
    <row r="124" spans="2:62" s="6" customFormat="1" ht="37.5" customHeight="1" x14ac:dyDescent="0.3">
      <c r="B124" s="22"/>
      <c r="C124" s="176" t="s">
        <v>141</v>
      </c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24"/>
    </row>
    <row r="125" spans="2:62" s="6" customFormat="1" ht="7.5" customHeight="1" x14ac:dyDescent="0.3">
      <c r="B125" s="22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4"/>
    </row>
    <row r="126" spans="2:62" s="6" customFormat="1" ht="15" customHeight="1" x14ac:dyDescent="0.3">
      <c r="B126" s="22"/>
      <c r="C126" s="16" t="s">
        <v>14</v>
      </c>
      <c r="D126" s="23"/>
      <c r="E126" s="23"/>
      <c r="F126" s="213" t="str">
        <f>$F$6</f>
        <v>Gymnazium_Chodovicka - rekonstrukce toalet a invalidní WC</v>
      </c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23"/>
      <c r="R126" s="24"/>
    </row>
    <row r="127" spans="2:62" s="6" customFormat="1" ht="15" customHeight="1" x14ac:dyDescent="0.3">
      <c r="B127" s="22"/>
      <c r="C127" s="15" t="s">
        <v>104</v>
      </c>
      <c r="D127" s="23"/>
      <c r="E127" s="23"/>
      <c r="F127" s="177" t="str">
        <f>$F$7</f>
        <v>SO02 - WC imobilní</v>
      </c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23"/>
      <c r="R127" s="24"/>
    </row>
    <row r="128" spans="2:62" s="6" customFormat="1" ht="7.5" customHeight="1" x14ac:dyDescent="0.3">
      <c r="B128" s="22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4"/>
    </row>
    <row r="129" spans="2:64" s="6" customFormat="1" ht="18.75" customHeight="1" x14ac:dyDescent="0.3">
      <c r="B129" s="22"/>
      <c r="C129" s="16" t="s">
        <v>18</v>
      </c>
      <c r="D129" s="23"/>
      <c r="E129" s="23"/>
      <c r="F129" s="17" t="str">
        <f>$F$9</f>
        <v>Chodovická 2250</v>
      </c>
      <c r="G129" s="23"/>
      <c r="H129" s="23"/>
      <c r="I129" s="23"/>
      <c r="J129" s="23"/>
      <c r="K129" s="16" t="s">
        <v>20</v>
      </c>
      <c r="L129" s="23"/>
      <c r="M129" s="214" t="str">
        <f>IF($O$9="","",$O$9)</f>
        <v>17.05.2018</v>
      </c>
      <c r="N129" s="161"/>
      <c r="O129" s="161"/>
      <c r="P129" s="161"/>
      <c r="Q129" s="23"/>
      <c r="R129" s="24"/>
    </row>
    <row r="130" spans="2:64" s="6" customFormat="1" ht="7.5" customHeight="1" x14ac:dyDescent="0.3">
      <c r="B130" s="22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4"/>
    </row>
    <row r="131" spans="2:64" s="6" customFormat="1" ht="15.75" customHeight="1" x14ac:dyDescent="0.3">
      <c r="B131" s="22"/>
      <c r="C131" s="16" t="s">
        <v>24</v>
      </c>
      <c r="D131" s="23"/>
      <c r="E131" s="23"/>
      <c r="F131" s="17" t="str">
        <f>$E$12</f>
        <v xml:space="preserve"> </v>
      </c>
      <c r="G131" s="23"/>
      <c r="H131" s="23"/>
      <c r="I131" s="23"/>
      <c r="J131" s="23"/>
      <c r="K131" s="16" t="s">
        <v>30</v>
      </c>
      <c r="L131" s="23"/>
      <c r="M131" s="178" t="str">
        <f>$E$18</f>
        <v xml:space="preserve"> </v>
      </c>
      <c r="N131" s="161"/>
      <c r="O131" s="161"/>
      <c r="P131" s="161"/>
      <c r="Q131" s="161"/>
      <c r="R131" s="24"/>
    </row>
    <row r="132" spans="2:64" s="6" customFormat="1" ht="15" customHeight="1" x14ac:dyDescent="0.3">
      <c r="B132" s="22"/>
      <c r="C132" s="16" t="s">
        <v>28</v>
      </c>
      <c r="D132" s="23"/>
      <c r="E132" s="23"/>
      <c r="F132" s="17" t="str">
        <f>IF($E$15="","",$E$15)</f>
        <v>Vyplň údaj</v>
      </c>
      <c r="G132" s="23"/>
      <c r="H132" s="23"/>
      <c r="I132" s="23"/>
      <c r="J132" s="23"/>
      <c r="K132" s="16" t="s">
        <v>32</v>
      </c>
      <c r="L132" s="23"/>
      <c r="M132" s="178" t="str">
        <f>$E$21</f>
        <v xml:space="preserve"> </v>
      </c>
      <c r="N132" s="161"/>
      <c r="O132" s="161"/>
      <c r="P132" s="161"/>
      <c r="Q132" s="161"/>
      <c r="R132" s="24"/>
    </row>
    <row r="133" spans="2:64" s="6" customFormat="1" ht="11.25" customHeight="1" x14ac:dyDescent="0.3"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4"/>
    </row>
    <row r="134" spans="2:64" s="115" customFormat="1" ht="30" customHeight="1" x14ac:dyDescent="0.3">
      <c r="B134" s="116"/>
      <c r="C134" s="117" t="s">
        <v>142</v>
      </c>
      <c r="D134" s="118" t="s">
        <v>143</v>
      </c>
      <c r="E134" s="118" t="s">
        <v>54</v>
      </c>
      <c r="F134" s="210" t="s">
        <v>144</v>
      </c>
      <c r="G134" s="211"/>
      <c r="H134" s="211"/>
      <c r="I134" s="211"/>
      <c r="J134" s="118" t="s">
        <v>145</v>
      </c>
      <c r="K134" s="118" t="s">
        <v>146</v>
      </c>
      <c r="L134" s="210" t="s">
        <v>147</v>
      </c>
      <c r="M134" s="211"/>
      <c r="N134" s="210" t="s">
        <v>148</v>
      </c>
      <c r="O134" s="211"/>
      <c r="P134" s="211"/>
      <c r="Q134" s="212"/>
      <c r="R134" s="119"/>
      <c r="T134" s="61" t="s">
        <v>149</v>
      </c>
      <c r="U134" s="62" t="s">
        <v>36</v>
      </c>
      <c r="V134" s="62" t="s">
        <v>150</v>
      </c>
      <c r="W134" s="62" t="s">
        <v>151</v>
      </c>
      <c r="X134" s="62" t="s">
        <v>152</v>
      </c>
      <c r="Y134" s="62" t="s">
        <v>153</v>
      </c>
      <c r="Z134" s="62" t="s">
        <v>154</v>
      </c>
      <c r="AA134" s="63" t="s">
        <v>155</v>
      </c>
    </row>
    <row r="135" spans="2:64" s="6" customFormat="1" ht="30" customHeight="1" x14ac:dyDescent="0.35">
      <c r="B135" s="22"/>
      <c r="C135" s="66" t="s">
        <v>106</v>
      </c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04">
        <f>$BK$135</f>
        <v>0</v>
      </c>
      <c r="O135" s="161"/>
      <c r="P135" s="161"/>
      <c r="Q135" s="161"/>
      <c r="R135" s="24"/>
      <c r="T135" s="65"/>
      <c r="U135" s="37"/>
      <c r="V135" s="37"/>
      <c r="W135" s="120">
        <f>$W$136+$W$159+$W$223+$W$225</f>
        <v>130.00454099999999</v>
      </c>
      <c r="X135" s="37"/>
      <c r="Y135" s="120">
        <f>$Y$136+$Y$159+$Y$223+$Y$225</f>
        <v>1.9181605999999998</v>
      </c>
      <c r="Z135" s="37"/>
      <c r="AA135" s="121">
        <f>$AA$136+$AA$159+$AA$223+$AA$225</f>
        <v>4.5099990000000005</v>
      </c>
      <c r="AT135" s="6" t="s">
        <v>71</v>
      </c>
      <c r="AU135" s="6" t="s">
        <v>111</v>
      </c>
      <c r="BK135" s="122">
        <f>$BK$136+$BK$159+$BK$223+$BK$225</f>
        <v>0</v>
      </c>
    </row>
    <row r="136" spans="2:64" s="123" customFormat="1" ht="37.5" customHeight="1" x14ac:dyDescent="0.35">
      <c r="B136" s="124"/>
      <c r="C136" s="125"/>
      <c r="D136" s="126" t="s">
        <v>112</v>
      </c>
      <c r="E136" s="125"/>
      <c r="F136" s="125"/>
      <c r="G136" s="125"/>
      <c r="H136" s="125"/>
      <c r="I136" s="125"/>
      <c r="J136" s="125"/>
      <c r="K136" s="125"/>
      <c r="L136" s="125"/>
      <c r="M136" s="125"/>
      <c r="N136" s="197">
        <f>$BK$136</f>
        <v>0</v>
      </c>
      <c r="O136" s="196"/>
      <c r="P136" s="196"/>
      <c r="Q136" s="196"/>
      <c r="R136" s="127"/>
      <c r="T136" s="128"/>
      <c r="U136" s="125"/>
      <c r="V136" s="125"/>
      <c r="W136" s="129">
        <f>$W$137+$W$139+$W$145</f>
        <v>48.381734000000002</v>
      </c>
      <c r="X136" s="125"/>
      <c r="Y136" s="129">
        <f>$Y$137+$Y$139+$Y$145</f>
        <v>0.90157239999999994</v>
      </c>
      <c r="Z136" s="125"/>
      <c r="AA136" s="130">
        <f>$AA$137+$AA$139+$AA$145</f>
        <v>4.4405160000000006</v>
      </c>
      <c r="AR136" s="131" t="s">
        <v>17</v>
      </c>
      <c r="AT136" s="131" t="s">
        <v>71</v>
      </c>
      <c r="AU136" s="131" t="s">
        <v>72</v>
      </c>
      <c r="AY136" s="131" t="s">
        <v>156</v>
      </c>
      <c r="BK136" s="132">
        <f>$BK$137+$BK$139+$BK$145</f>
        <v>0</v>
      </c>
    </row>
    <row r="137" spans="2:64" s="123" customFormat="1" ht="21" customHeight="1" x14ac:dyDescent="0.3">
      <c r="B137" s="124"/>
      <c r="C137" s="125"/>
      <c r="D137" s="133" t="s">
        <v>113</v>
      </c>
      <c r="E137" s="125"/>
      <c r="F137" s="125"/>
      <c r="G137" s="125"/>
      <c r="H137" s="125"/>
      <c r="I137" s="125"/>
      <c r="J137" s="125"/>
      <c r="K137" s="125"/>
      <c r="L137" s="125"/>
      <c r="M137" s="125"/>
      <c r="N137" s="195">
        <f>$BK$137</f>
        <v>0</v>
      </c>
      <c r="O137" s="196"/>
      <c r="P137" s="196"/>
      <c r="Q137" s="196"/>
      <c r="R137" s="127"/>
      <c r="T137" s="128"/>
      <c r="U137" s="125"/>
      <c r="V137" s="125"/>
      <c r="W137" s="129">
        <f>$W$138</f>
        <v>1.506</v>
      </c>
      <c r="X137" s="125"/>
      <c r="Y137" s="129">
        <f>$Y$138</f>
        <v>0.12050999999999999</v>
      </c>
      <c r="Z137" s="125"/>
      <c r="AA137" s="130">
        <f>$AA$138</f>
        <v>0</v>
      </c>
      <c r="AR137" s="131" t="s">
        <v>17</v>
      </c>
      <c r="AT137" s="131" t="s">
        <v>71</v>
      </c>
      <c r="AU137" s="131" t="s">
        <v>17</v>
      </c>
      <c r="AY137" s="131" t="s">
        <v>156</v>
      </c>
      <c r="BK137" s="132">
        <f>$BK$138</f>
        <v>0</v>
      </c>
    </row>
    <row r="138" spans="2:64" s="6" customFormat="1" ht="39" customHeight="1" x14ac:dyDescent="0.3">
      <c r="B138" s="22"/>
      <c r="C138" s="134" t="s">
        <v>17</v>
      </c>
      <c r="D138" s="134" t="s">
        <v>157</v>
      </c>
      <c r="E138" s="135" t="s">
        <v>158</v>
      </c>
      <c r="F138" s="205" t="s">
        <v>159</v>
      </c>
      <c r="G138" s="202"/>
      <c r="H138" s="202"/>
      <c r="I138" s="202"/>
      <c r="J138" s="136" t="s">
        <v>160</v>
      </c>
      <c r="K138" s="137">
        <v>3</v>
      </c>
      <c r="L138" s="201">
        <v>0</v>
      </c>
      <c r="M138" s="202"/>
      <c r="N138" s="203">
        <f>ROUND($L$138*$K$138,2)</f>
        <v>0</v>
      </c>
      <c r="O138" s="202"/>
      <c r="P138" s="202"/>
      <c r="Q138" s="202"/>
      <c r="R138" s="24"/>
      <c r="T138" s="138"/>
      <c r="U138" s="30" t="s">
        <v>37</v>
      </c>
      <c r="V138" s="139">
        <v>0.502</v>
      </c>
      <c r="W138" s="139">
        <f>$V$138*$K$138</f>
        <v>1.506</v>
      </c>
      <c r="X138" s="139">
        <v>4.0169999999999997E-2</v>
      </c>
      <c r="Y138" s="139">
        <f>$X$138*$K$138</f>
        <v>0.12050999999999999</v>
      </c>
      <c r="Z138" s="139">
        <v>0</v>
      </c>
      <c r="AA138" s="140">
        <f>$Z$138*$K$138</f>
        <v>0</v>
      </c>
      <c r="AR138" s="6" t="s">
        <v>161</v>
      </c>
      <c r="AT138" s="6" t="s">
        <v>157</v>
      </c>
      <c r="AU138" s="6" t="s">
        <v>102</v>
      </c>
      <c r="AY138" s="6" t="s">
        <v>156</v>
      </c>
      <c r="BE138" s="88">
        <f>IF($U$138="základní",$N$138,0)</f>
        <v>0</v>
      </c>
      <c r="BF138" s="88">
        <f>IF($U$138="snížená",$N$138,0)</f>
        <v>0</v>
      </c>
      <c r="BG138" s="88">
        <f>IF($U$138="zákl. přenesená",$N$138,0)</f>
        <v>0</v>
      </c>
      <c r="BH138" s="88">
        <f>IF($U$138="sníž. přenesená",$N$138,0)</f>
        <v>0</v>
      </c>
      <c r="BI138" s="88">
        <f>IF($U$138="nulová",$N$138,0)</f>
        <v>0</v>
      </c>
      <c r="BJ138" s="6" t="s">
        <v>17</v>
      </c>
      <c r="BK138" s="88">
        <f>ROUND($L$138*$K$138,2)</f>
        <v>0</v>
      </c>
      <c r="BL138" s="6" t="s">
        <v>161</v>
      </c>
    </row>
    <row r="139" spans="2:64" s="123" customFormat="1" ht="30.75" customHeight="1" x14ac:dyDescent="0.3">
      <c r="B139" s="124"/>
      <c r="C139" s="125"/>
      <c r="D139" s="133" t="s">
        <v>114</v>
      </c>
      <c r="E139" s="125"/>
      <c r="F139" s="125"/>
      <c r="G139" s="125"/>
      <c r="H139" s="125"/>
      <c r="I139" s="125"/>
      <c r="J139" s="125"/>
      <c r="K139" s="125"/>
      <c r="L139" s="125"/>
      <c r="M139" s="125"/>
      <c r="N139" s="195">
        <f>$BK$139</f>
        <v>0</v>
      </c>
      <c r="O139" s="196"/>
      <c r="P139" s="196"/>
      <c r="Q139" s="196"/>
      <c r="R139" s="127"/>
      <c r="T139" s="128"/>
      <c r="U139" s="125"/>
      <c r="V139" s="125"/>
      <c r="W139" s="129">
        <f>SUM($W$140:$W$144)</f>
        <v>13.044319999999999</v>
      </c>
      <c r="X139" s="125"/>
      <c r="Y139" s="129">
        <f>SUM($Y$140:$Y$144)</f>
        <v>0.77906239999999993</v>
      </c>
      <c r="Z139" s="125"/>
      <c r="AA139" s="130">
        <f>SUM($AA$140:$AA$144)</f>
        <v>0</v>
      </c>
      <c r="AR139" s="131" t="s">
        <v>17</v>
      </c>
      <c r="AT139" s="131" t="s">
        <v>71</v>
      </c>
      <c r="AU139" s="131" t="s">
        <v>17</v>
      </c>
      <c r="AY139" s="131" t="s">
        <v>156</v>
      </c>
      <c r="BK139" s="132">
        <f>SUM($BK$140:$BK$144)</f>
        <v>0</v>
      </c>
    </row>
    <row r="140" spans="2:64" s="6" customFormat="1" ht="27" customHeight="1" x14ac:dyDescent="0.3">
      <c r="B140" s="22"/>
      <c r="C140" s="134" t="s">
        <v>102</v>
      </c>
      <c r="D140" s="134" t="s">
        <v>157</v>
      </c>
      <c r="E140" s="135" t="s">
        <v>162</v>
      </c>
      <c r="F140" s="205" t="s">
        <v>163</v>
      </c>
      <c r="G140" s="202"/>
      <c r="H140" s="202"/>
      <c r="I140" s="202"/>
      <c r="J140" s="136" t="s">
        <v>160</v>
      </c>
      <c r="K140" s="137">
        <v>16.68</v>
      </c>
      <c r="L140" s="201">
        <v>0</v>
      </c>
      <c r="M140" s="202"/>
      <c r="N140" s="203">
        <f>ROUND($L$140*$K$140,2)</f>
        <v>0</v>
      </c>
      <c r="O140" s="202"/>
      <c r="P140" s="202"/>
      <c r="Q140" s="202"/>
      <c r="R140" s="24"/>
      <c r="T140" s="138"/>
      <c r="U140" s="30" t="s">
        <v>37</v>
      </c>
      <c r="V140" s="139">
        <v>0.47399999999999998</v>
      </c>
      <c r="W140" s="139">
        <f>$V$140*$K$140</f>
        <v>7.9063199999999991</v>
      </c>
      <c r="X140" s="139">
        <v>2.0480000000000002E-2</v>
      </c>
      <c r="Y140" s="139">
        <f>$X$140*$K$140</f>
        <v>0.34160640000000003</v>
      </c>
      <c r="Z140" s="139">
        <v>0</v>
      </c>
      <c r="AA140" s="140">
        <f>$Z$140*$K$140</f>
        <v>0</v>
      </c>
      <c r="AR140" s="6" t="s">
        <v>161</v>
      </c>
      <c r="AT140" s="6" t="s">
        <v>157</v>
      </c>
      <c r="AU140" s="6" t="s">
        <v>102</v>
      </c>
      <c r="AY140" s="6" t="s">
        <v>156</v>
      </c>
      <c r="BE140" s="88">
        <f>IF($U$140="základní",$N$140,0)</f>
        <v>0</v>
      </c>
      <c r="BF140" s="88">
        <f>IF($U$140="snížená",$N$140,0)</f>
        <v>0</v>
      </c>
      <c r="BG140" s="88">
        <f>IF($U$140="zákl. přenesená",$N$140,0)</f>
        <v>0</v>
      </c>
      <c r="BH140" s="88">
        <f>IF($U$140="sníž. přenesená",$N$140,0)</f>
        <v>0</v>
      </c>
      <c r="BI140" s="88">
        <f>IF($U$140="nulová",$N$140,0)</f>
        <v>0</v>
      </c>
      <c r="BJ140" s="6" t="s">
        <v>17</v>
      </c>
      <c r="BK140" s="88">
        <f>ROUND($L$140*$K$140,2)</f>
        <v>0</v>
      </c>
      <c r="BL140" s="6" t="s">
        <v>161</v>
      </c>
    </row>
    <row r="141" spans="2:64" s="6" customFormat="1" ht="27" customHeight="1" x14ac:dyDescent="0.3">
      <c r="B141" s="22"/>
      <c r="C141" s="134" t="s">
        <v>164</v>
      </c>
      <c r="D141" s="134" t="s">
        <v>157</v>
      </c>
      <c r="E141" s="135" t="s">
        <v>165</v>
      </c>
      <c r="F141" s="205" t="s">
        <v>166</v>
      </c>
      <c r="G141" s="202"/>
      <c r="H141" s="202"/>
      <c r="I141" s="202"/>
      <c r="J141" s="136" t="s">
        <v>160</v>
      </c>
      <c r="K141" s="137">
        <v>3</v>
      </c>
      <c r="L141" s="201">
        <v>0</v>
      </c>
      <c r="M141" s="202"/>
      <c r="N141" s="203">
        <f>ROUND($L$141*$K$141,2)</f>
        <v>0</v>
      </c>
      <c r="O141" s="202"/>
      <c r="P141" s="202"/>
      <c r="Q141" s="202"/>
      <c r="R141" s="24"/>
      <c r="T141" s="138"/>
      <c r="U141" s="30" t="s">
        <v>37</v>
      </c>
      <c r="V141" s="139">
        <v>0.36</v>
      </c>
      <c r="W141" s="139">
        <f>$V$141*$K$141</f>
        <v>1.08</v>
      </c>
      <c r="X141" s="139">
        <v>4.8900000000000002E-3</v>
      </c>
      <c r="Y141" s="139">
        <f>$X$141*$K$141</f>
        <v>1.4670000000000001E-2</v>
      </c>
      <c r="Z141" s="139">
        <v>0</v>
      </c>
      <c r="AA141" s="140">
        <f>$Z$141*$K$141</f>
        <v>0</v>
      </c>
      <c r="AR141" s="6" t="s">
        <v>161</v>
      </c>
      <c r="AT141" s="6" t="s">
        <v>157</v>
      </c>
      <c r="AU141" s="6" t="s">
        <v>102</v>
      </c>
      <c r="AY141" s="6" t="s">
        <v>156</v>
      </c>
      <c r="BE141" s="88">
        <f>IF($U$141="základní",$N$141,0)</f>
        <v>0</v>
      </c>
      <c r="BF141" s="88">
        <f>IF($U$141="snížená",$N$141,0)</f>
        <v>0</v>
      </c>
      <c r="BG141" s="88">
        <f>IF($U$141="zákl. přenesená",$N$141,0)</f>
        <v>0</v>
      </c>
      <c r="BH141" s="88">
        <f>IF($U$141="sníž. přenesená",$N$141,0)</f>
        <v>0</v>
      </c>
      <c r="BI141" s="88">
        <f>IF($U$141="nulová",$N$141,0)</f>
        <v>0</v>
      </c>
      <c r="BJ141" s="6" t="s">
        <v>17</v>
      </c>
      <c r="BK141" s="88">
        <f>ROUND($L$141*$K$141,2)</f>
        <v>0</v>
      </c>
      <c r="BL141" s="6" t="s">
        <v>161</v>
      </c>
    </row>
    <row r="142" spans="2:64" s="6" customFormat="1" ht="27" customHeight="1" x14ac:dyDescent="0.3">
      <c r="B142" s="22"/>
      <c r="C142" s="134" t="s">
        <v>167</v>
      </c>
      <c r="D142" s="134" t="s">
        <v>157</v>
      </c>
      <c r="E142" s="135" t="s">
        <v>168</v>
      </c>
      <c r="F142" s="205" t="s">
        <v>169</v>
      </c>
      <c r="G142" s="202"/>
      <c r="H142" s="202"/>
      <c r="I142" s="202"/>
      <c r="J142" s="136" t="s">
        <v>160</v>
      </c>
      <c r="K142" s="137">
        <v>2</v>
      </c>
      <c r="L142" s="201">
        <v>0</v>
      </c>
      <c r="M142" s="202"/>
      <c r="N142" s="203">
        <f>ROUND($L$142*$K$142,2)</f>
        <v>0</v>
      </c>
      <c r="O142" s="202"/>
      <c r="P142" s="202"/>
      <c r="Q142" s="202"/>
      <c r="R142" s="24"/>
      <c r="T142" s="138"/>
      <c r="U142" s="30" t="s">
        <v>37</v>
      </c>
      <c r="V142" s="139">
        <v>0.38</v>
      </c>
      <c r="W142" s="139">
        <f>$V$142*$K$142</f>
        <v>0.76</v>
      </c>
      <c r="X142" s="139">
        <v>1.47E-2</v>
      </c>
      <c r="Y142" s="139">
        <f>$X$142*$K$142</f>
        <v>2.9399999999999999E-2</v>
      </c>
      <c r="Z142" s="139">
        <v>0</v>
      </c>
      <c r="AA142" s="140">
        <f>$Z$142*$K$142</f>
        <v>0</v>
      </c>
      <c r="AR142" s="6" t="s">
        <v>161</v>
      </c>
      <c r="AT142" s="6" t="s">
        <v>157</v>
      </c>
      <c r="AU142" s="6" t="s">
        <v>102</v>
      </c>
      <c r="AY142" s="6" t="s">
        <v>156</v>
      </c>
      <c r="BE142" s="88">
        <f>IF($U$142="základní",$N$142,0)</f>
        <v>0</v>
      </c>
      <c r="BF142" s="88">
        <f>IF($U$142="snížená",$N$142,0)</f>
        <v>0</v>
      </c>
      <c r="BG142" s="88">
        <f>IF($U$142="zákl. přenesená",$N$142,0)</f>
        <v>0</v>
      </c>
      <c r="BH142" s="88">
        <f>IF($U$142="sníž. přenesená",$N$142,0)</f>
        <v>0</v>
      </c>
      <c r="BI142" s="88">
        <f>IF($U$142="nulová",$N$142,0)</f>
        <v>0</v>
      </c>
      <c r="BJ142" s="6" t="s">
        <v>17</v>
      </c>
      <c r="BK142" s="88">
        <f>ROUND($L$142*$K$142,2)</f>
        <v>0</v>
      </c>
      <c r="BL142" s="6" t="s">
        <v>161</v>
      </c>
    </row>
    <row r="143" spans="2:64" s="6" customFormat="1" ht="27" customHeight="1" x14ac:dyDescent="0.3">
      <c r="B143" s="22"/>
      <c r="C143" s="134" t="s">
        <v>170</v>
      </c>
      <c r="D143" s="134" t="s">
        <v>157</v>
      </c>
      <c r="E143" s="135" t="s">
        <v>171</v>
      </c>
      <c r="F143" s="205" t="s">
        <v>172</v>
      </c>
      <c r="G143" s="202"/>
      <c r="H143" s="202"/>
      <c r="I143" s="202"/>
      <c r="J143" s="136" t="s">
        <v>160</v>
      </c>
      <c r="K143" s="137">
        <v>5.3</v>
      </c>
      <c r="L143" s="201">
        <v>0</v>
      </c>
      <c r="M143" s="202"/>
      <c r="N143" s="203">
        <f>ROUND($L$143*$K$143,2)</f>
        <v>0</v>
      </c>
      <c r="O143" s="202"/>
      <c r="P143" s="202"/>
      <c r="Q143" s="202"/>
      <c r="R143" s="24"/>
      <c r="T143" s="138"/>
      <c r="U143" s="30" t="s">
        <v>37</v>
      </c>
      <c r="V143" s="139">
        <v>0.48</v>
      </c>
      <c r="W143" s="139">
        <f>$V$143*$K$143</f>
        <v>2.544</v>
      </c>
      <c r="X143" s="139">
        <v>7.102E-2</v>
      </c>
      <c r="Y143" s="139">
        <f>$X$143*$K$143</f>
        <v>0.37640599999999996</v>
      </c>
      <c r="Z143" s="139">
        <v>0</v>
      </c>
      <c r="AA143" s="140">
        <f>$Z$143*$K$143</f>
        <v>0</v>
      </c>
      <c r="AR143" s="6" t="s">
        <v>161</v>
      </c>
      <c r="AT143" s="6" t="s">
        <v>157</v>
      </c>
      <c r="AU143" s="6" t="s">
        <v>102</v>
      </c>
      <c r="AY143" s="6" t="s">
        <v>156</v>
      </c>
      <c r="BE143" s="88">
        <f>IF($U$143="základní",$N$143,0)</f>
        <v>0</v>
      </c>
      <c r="BF143" s="88">
        <f>IF($U$143="snížená",$N$143,0)</f>
        <v>0</v>
      </c>
      <c r="BG143" s="88">
        <f>IF($U$143="zákl. přenesená",$N$143,0)</f>
        <v>0</v>
      </c>
      <c r="BH143" s="88">
        <f>IF($U$143="sníž. přenesená",$N$143,0)</f>
        <v>0</v>
      </c>
      <c r="BI143" s="88">
        <f>IF($U$143="nulová",$N$143,0)</f>
        <v>0</v>
      </c>
      <c r="BJ143" s="6" t="s">
        <v>17</v>
      </c>
      <c r="BK143" s="88">
        <f>ROUND($L$143*$K$143,2)</f>
        <v>0</v>
      </c>
      <c r="BL143" s="6" t="s">
        <v>161</v>
      </c>
    </row>
    <row r="144" spans="2:64" s="6" customFormat="1" ht="27" customHeight="1" x14ac:dyDescent="0.3">
      <c r="B144" s="22"/>
      <c r="C144" s="134" t="s">
        <v>173</v>
      </c>
      <c r="D144" s="134" t="s">
        <v>157</v>
      </c>
      <c r="E144" s="135" t="s">
        <v>174</v>
      </c>
      <c r="F144" s="205" t="s">
        <v>175</v>
      </c>
      <c r="G144" s="202"/>
      <c r="H144" s="202"/>
      <c r="I144" s="202"/>
      <c r="J144" s="136" t="s">
        <v>176</v>
      </c>
      <c r="K144" s="137">
        <v>1</v>
      </c>
      <c r="L144" s="201">
        <v>0</v>
      </c>
      <c r="M144" s="202"/>
      <c r="N144" s="203">
        <f>ROUND($L$144*$K$144,2)</f>
        <v>0</v>
      </c>
      <c r="O144" s="202"/>
      <c r="P144" s="202"/>
      <c r="Q144" s="202"/>
      <c r="R144" s="24"/>
      <c r="T144" s="138"/>
      <c r="U144" s="30" t="s">
        <v>37</v>
      </c>
      <c r="V144" s="139">
        <v>0.754</v>
      </c>
      <c r="W144" s="139">
        <f>$V$144*$K$144</f>
        <v>0.754</v>
      </c>
      <c r="X144" s="139">
        <v>1.6979999999999999E-2</v>
      </c>
      <c r="Y144" s="139">
        <f>$X$144*$K$144</f>
        <v>1.6979999999999999E-2</v>
      </c>
      <c r="Z144" s="139">
        <v>0</v>
      </c>
      <c r="AA144" s="140">
        <f>$Z$144*$K$144</f>
        <v>0</v>
      </c>
      <c r="AR144" s="6" t="s">
        <v>161</v>
      </c>
      <c r="AT144" s="6" t="s">
        <v>157</v>
      </c>
      <c r="AU144" s="6" t="s">
        <v>102</v>
      </c>
      <c r="AY144" s="6" t="s">
        <v>156</v>
      </c>
      <c r="BE144" s="88">
        <f>IF($U$144="základní",$N$144,0)</f>
        <v>0</v>
      </c>
      <c r="BF144" s="88">
        <f>IF($U$144="snížená",$N$144,0)</f>
        <v>0</v>
      </c>
      <c r="BG144" s="88">
        <f>IF($U$144="zákl. přenesená",$N$144,0)</f>
        <v>0</v>
      </c>
      <c r="BH144" s="88">
        <f>IF($U$144="sníž. přenesená",$N$144,0)</f>
        <v>0</v>
      </c>
      <c r="BI144" s="88">
        <f>IF($U$144="nulová",$N$144,0)</f>
        <v>0</v>
      </c>
      <c r="BJ144" s="6" t="s">
        <v>17</v>
      </c>
      <c r="BK144" s="88">
        <f>ROUND($L$144*$K$144,2)</f>
        <v>0</v>
      </c>
      <c r="BL144" s="6" t="s">
        <v>161</v>
      </c>
    </row>
    <row r="145" spans="2:64" s="123" customFormat="1" ht="30.75" customHeight="1" x14ac:dyDescent="0.3">
      <c r="B145" s="124"/>
      <c r="C145" s="125"/>
      <c r="D145" s="133" t="s">
        <v>115</v>
      </c>
      <c r="E145" s="125"/>
      <c r="F145" s="125"/>
      <c r="G145" s="125"/>
      <c r="H145" s="125"/>
      <c r="I145" s="125"/>
      <c r="J145" s="125"/>
      <c r="K145" s="125"/>
      <c r="L145" s="125"/>
      <c r="M145" s="125"/>
      <c r="N145" s="195">
        <f>$BK$145</f>
        <v>0</v>
      </c>
      <c r="O145" s="196"/>
      <c r="P145" s="196"/>
      <c r="Q145" s="196"/>
      <c r="R145" s="127"/>
      <c r="T145" s="128"/>
      <c r="U145" s="125"/>
      <c r="V145" s="125"/>
      <c r="W145" s="129">
        <f>$W$146+SUM($W$147:$W$154)</f>
        <v>33.831414000000002</v>
      </c>
      <c r="X145" s="125"/>
      <c r="Y145" s="129">
        <f>$Y$146+SUM($Y$147:$Y$154)</f>
        <v>2E-3</v>
      </c>
      <c r="Z145" s="125"/>
      <c r="AA145" s="130">
        <f>$AA$146+SUM($AA$147:$AA$154)</f>
        <v>4.4405160000000006</v>
      </c>
      <c r="AR145" s="131" t="s">
        <v>17</v>
      </c>
      <c r="AT145" s="131" t="s">
        <v>71</v>
      </c>
      <c r="AU145" s="131" t="s">
        <v>17</v>
      </c>
      <c r="AY145" s="131" t="s">
        <v>156</v>
      </c>
      <c r="BK145" s="132">
        <f>$BK$146+SUM($BK$147:$BK$154)</f>
        <v>0</v>
      </c>
    </row>
    <row r="146" spans="2:64" s="6" customFormat="1" ht="27" customHeight="1" x14ac:dyDescent="0.3">
      <c r="B146" s="22"/>
      <c r="C146" s="134" t="s">
        <v>177</v>
      </c>
      <c r="D146" s="134" t="s">
        <v>157</v>
      </c>
      <c r="E146" s="135" t="s">
        <v>178</v>
      </c>
      <c r="F146" s="205" t="s">
        <v>179</v>
      </c>
      <c r="G146" s="202"/>
      <c r="H146" s="202"/>
      <c r="I146" s="202"/>
      <c r="J146" s="136" t="s">
        <v>160</v>
      </c>
      <c r="K146" s="137">
        <v>50</v>
      </c>
      <c r="L146" s="201">
        <v>0</v>
      </c>
      <c r="M146" s="202"/>
      <c r="N146" s="203">
        <f>ROUND($L$146*$K$146,2)</f>
        <v>0</v>
      </c>
      <c r="O146" s="202"/>
      <c r="P146" s="202"/>
      <c r="Q146" s="202"/>
      <c r="R146" s="24"/>
      <c r="T146" s="138"/>
      <c r="U146" s="30" t="s">
        <v>37</v>
      </c>
      <c r="V146" s="139">
        <v>0.308</v>
      </c>
      <c r="W146" s="139">
        <f>$V$146*$K$146</f>
        <v>15.4</v>
      </c>
      <c r="X146" s="139">
        <v>4.0000000000000003E-5</v>
      </c>
      <c r="Y146" s="139">
        <f>$X$146*$K$146</f>
        <v>2E-3</v>
      </c>
      <c r="Z146" s="139">
        <v>0</v>
      </c>
      <c r="AA146" s="140">
        <f>$Z$146*$K$146</f>
        <v>0</v>
      </c>
      <c r="AR146" s="6" t="s">
        <v>161</v>
      </c>
      <c r="AT146" s="6" t="s">
        <v>157</v>
      </c>
      <c r="AU146" s="6" t="s">
        <v>102</v>
      </c>
      <c r="AY146" s="6" t="s">
        <v>156</v>
      </c>
      <c r="BE146" s="88">
        <f>IF($U$146="základní",$N$146,0)</f>
        <v>0</v>
      </c>
      <c r="BF146" s="88">
        <f>IF($U$146="snížená",$N$146,0)</f>
        <v>0</v>
      </c>
      <c r="BG146" s="88">
        <f>IF($U$146="zákl. přenesená",$N$146,0)</f>
        <v>0</v>
      </c>
      <c r="BH146" s="88">
        <f>IF($U$146="sníž. přenesená",$N$146,0)</f>
        <v>0</v>
      </c>
      <c r="BI146" s="88">
        <f>IF($U$146="nulová",$N$146,0)</f>
        <v>0</v>
      </c>
      <c r="BJ146" s="6" t="s">
        <v>17</v>
      </c>
      <c r="BK146" s="88">
        <f>ROUND($L$146*$K$146,2)</f>
        <v>0</v>
      </c>
      <c r="BL146" s="6" t="s">
        <v>161</v>
      </c>
    </row>
    <row r="147" spans="2:64" s="6" customFormat="1" ht="27" customHeight="1" x14ac:dyDescent="0.3">
      <c r="B147" s="22"/>
      <c r="C147" s="134" t="s">
        <v>180</v>
      </c>
      <c r="D147" s="134" t="s">
        <v>157</v>
      </c>
      <c r="E147" s="135" t="s">
        <v>181</v>
      </c>
      <c r="F147" s="205" t="s">
        <v>182</v>
      </c>
      <c r="G147" s="202"/>
      <c r="H147" s="202"/>
      <c r="I147" s="202"/>
      <c r="J147" s="136" t="s">
        <v>183</v>
      </c>
      <c r="K147" s="137">
        <v>0.99</v>
      </c>
      <c r="L147" s="201">
        <v>0</v>
      </c>
      <c r="M147" s="202"/>
      <c r="N147" s="203">
        <f>ROUND($L$147*$K$147,2)</f>
        <v>0</v>
      </c>
      <c r="O147" s="202"/>
      <c r="P147" s="202"/>
      <c r="Q147" s="202"/>
      <c r="R147" s="24"/>
      <c r="T147" s="138"/>
      <c r="U147" s="30" t="s">
        <v>37</v>
      </c>
      <c r="V147" s="139">
        <v>1.52</v>
      </c>
      <c r="W147" s="139">
        <f>$V$147*$K$147</f>
        <v>1.5047999999999999</v>
      </c>
      <c r="X147" s="139">
        <v>0</v>
      </c>
      <c r="Y147" s="139">
        <f>$X$147*$K$147</f>
        <v>0</v>
      </c>
      <c r="Z147" s="139">
        <v>1.8</v>
      </c>
      <c r="AA147" s="140">
        <f>$Z$147*$K$147</f>
        <v>1.782</v>
      </c>
      <c r="AR147" s="6" t="s">
        <v>161</v>
      </c>
      <c r="AT147" s="6" t="s">
        <v>157</v>
      </c>
      <c r="AU147" s="6" t="s">
        <v>102</v>
      </c>
      <c r="AY147" s="6" t="s">
        <v>156</v>
      </c>
      <c r="BE147" s="88">
        <f>IF($U$147="základní",$N$147,0)</f>
        <v>0</v>
      </c>
      <c r="BF147" s="88">
        <f>IF($U$147="snížená",$N$147,0)</f>
        <v>0</v>
      </c>
      <c r="BG147" s="88">
        <f>IF($U$147="zákl. přenesená",$N$147,0)</f>
        <v>0</v>
      </c>
      <c r="BH147" s="88">
        <f>IF($U$147="sníž. přenesená",$N$147,0)</f>
        <v>0</v>
      </c>
      <c r="BI147" s="88">
        <f>IF($U$147="nulová",$N$147,0)</f>
        <v>0</v>
      </c>
      <c r="BJ147" s="6" t="s">
        <v>17</v>
      </c>
      <c r="BK147" s="88">
        <f>ROUND($L$147*$K$147,2)</f>
        <v>0</v>
      </c>
      <c r="BL147" s="6" t="s">
        <v>161</v>
      </c>
    </row>
    <row r="148" spans="2:64" s="6" customFormat="1" ht="39" customHeight="1" x14ac:dyDescent="0.3">
      <c r="B148" s="22"/>
      <c r="C148" s="134" t="s">
        <v>184</v>
      </c>
      <c r="D148" s="134" t="s">
        <v>157</v>
      </c>
      <c r="E148" s="135" t="s">
        <v>185</v>
      </c>
      <c r="F148" s="205" t="s">
        <v>186</v>
      </c>
      <c r="G148" s="202"/>
      <c r="H148" s="202"/>
      <c r="I148" s="202"/>
      <c r="J148" s="136" t="s">
        <v>183</v>
      </c>
      <c r="K148" s="137">
        <v>0.26500000000000001</v>
      </c>
      <c r="L148" s="201">
        <v>0</v>
      </c>
      <c r="M148" s="202"/>
      <c r="N148" s="203">
        <f>ROUND($L$148*$K$148,2)</f>
        <v>0</v>
      </c>
      <c r="O148" s="202"/>
      <c r="P148" s="202"/>
      <c r="Q148" s="202"/>
      <c r="R148" s="24"/>
      <c r="T148" s="138"/>
      <c r="U148" s="30" t="s">
        <v>37</v>
      </c>
      <c r="V148" s="139">
        <v>10.88</v>
      </c>
      <c r="W148" s="139">
        <f>$V$148*$K$148</f>
        <v>2.8832000000000004</v>
      </c>
      <c r="X148" s="139">
        <v>0</v>
      </c>
      <c r="Y148" s="139">
        <f>$X$148*$K$148</f>
        <v>0</v>
      </c>
      <c r="Z148" s="139">
        <v>2.2000000000000002</v>
      </c>
      <c r="AA148" s="140">
        <f>$Z$148*$K$148</f>
        <v>0.58300000000000007</v>
      </c>
      <c r="AR148" s="6" t="s">
        <v>161</v>
      </c>
      <c r="AT148" s="6" t="s">
        <v>157</v>
      </c>
      <c r="AU148" s="6" t="s">
        <v>102</v>
      </c>
      <c r="AY148" s="6" t="s">
        <v>156</v>
      </c>
      <c r="BE148" s="88">
        <f>IF($U$148="základní",$N$148,0)</f>
        <v>0</v>
      </c>
      <c r="BF148" s="88">
        <f>IF($U$148="snížená",$N$148,0)</f>
        <v>0</v>
      </c>
      <c r="BG148" s="88">
        <f>IF($U$148="zákl. přenesená",$N$148,0)</f>
        <v>0</v>
      </c>
      <c r="BH148" s="88">
        <f>IF($U$148="sníž. přenesená",$N$148,0)</f>
        <v>0</v>
      </c>
      <c r="BI148" s="88">
        <f>IF($U$148="nulová",$N$148,0)</f>
        <v>0</v>
      </c>
      <c r="BJ148" s="6" t="s">
        <v>17</v>
      </c>
      <c r="BK148" s="88">
        <f>ROUND($L$148*$K$148,2)</f>
        <v>0</v>
      </c>
      <c r="BL148" s="6" t="s">
        <v>161</v>
      </c>
    </row>
    <row r="149" spans="2:64" s="6" customFormat="1" ht="27" customHeight="1" x14ac:dyDescent="0.3">
      <c r="B149" s="22"/>
      <c r="C149" s="134" t="s">
        <v>22</v>
      </c>
      <c r="D149" s="134" t="s">
        <v>157</v>
      </c>
      <c r="E149" s="135" t="s">
        <v>187</v>
      </c>
      <c r="F149" s="205" t="s">
        <v>188</v>
      </c>
      <c r="G149" s="202"/>
      <c r="H149" s="202"/>
      <c r="I149" s="202"/>
      <c r="J149" s="136" t="s">
        <v>160</v>
      </c>
      <c r="K149" s="137">
        <v>5.3</v>
      </c>
      <c r="L149" s="201">
        <v>0</v>
      </c>
      <c r="M149" s="202"/>
      <c r="N149" s="203">
        <f>ROUND($L$149*$K$149,2)</f>
        <v>0</v>
      </c>
      <c r="O149" s="202"/>
      <c r="P149" s="202"/>
      <c r="Q149" s="202"/>
      <c r="R149" s="24"/>
      <c r="T149" s="138"/>
      <c r="U149" s="30" t="s">
        <v>37</v>
      </c>
      <c r="V149" s="139">
        <v>0.16200000000000001</v>
      </c>
      <c r="W149" s="139">
        <f>$V$149*$K$149</f>
        <v>0.85860000000000003</v>
      </c>
      <c r="X149" s="139">
        <v>0</v>
      </c>
      <c r="Y149" s="139">
        <f>$X$149*$K$149</f>
        <v>0</v>
      </c>
      <c r="Z149" s="139">
        <v>3.5000000000000003E-2</v>
      </c>
      <c r="AA149" s="140">
        <f>$Z$149*$K$149</f>
        <v>0.1855</v>
      </c>
      <c r="AR149" s="6" t="s">
        <v>161</v>
      </c>
      <c r="AT149" s="6" t="s">
        <v>157</v>
      </c>
      <c r="AU149" s="6" t="s">
        <v>102</v>
      </c>
      <c r="AY149" s="6" t="s">
        <v>156</v>
      </c>
      <c r="BE149" s="88">
        <f>IF($U$149="základní",$N$149,0)</f>
        <v>0</v>
      </c>
      <c r="BF149" s="88">
        <f>IF($U$149="snížená",$N$149,0)</f>
        <v>0</v>
      </c>
      <c r="BG149" s="88">
        <f>IF($U$149="zákl. přenesená",$N$149,0)</f>
        <v>0</v>
      </c>
      <c r="BH149" s="88">
        <f>IF($U$149="sníž. přenesená",$N$149,0)</f>
        <v>0</v>
      </c>
      <c r="BI149" s="88">
        <f>IF($U$149="nulová",$N$149,0)</f>
        <v>0</v>
      </c>
      <c r="BJ149" s="6" t="s">
        <v>17</v>
      </c>
      <c r="BK149" s="88">
        <f>ROUND($L$149*$K$149,2)</f>
        <v>0</v>
      </c>
      <c r="BL149" s="6" t="s">
        <v>161</v>
      </c>
    </row>
    <row r="150" spans="2:64" s="6" customFormat="1" ht="27" customHeight="1" x14ac:dyDescent="0.3">
      <c r="B150" s="22"/>
      <c r="C150" s="134" t="s">
        <v>189</v>
      </c>
      <c r="D150" s="134" t="s">
        <v>157</v>
      </c>
      <c r="E150" s="135" t="s">
        <v>190</v>
      </c>
      <c r="F150" s="205" t="s">
        <v>191</v>
      </c>
      <c r="G150" s="202"/>
      <c r="H150" s="202"/>
      <c r="I150" s="202"/>
      <c r="J150" s="136" t="s">
        <v>160</v>
      </c>
      <c r="K150" s="137">
        <v>1.5760000000000001</v>
      </c>
      <c r="L150" s="201">
        <v>0</v>
      </c>
      <c r="M150" s="202"/>
      <c r="N150" s="203">
        <f>ROUND($L$150*$K$150,2)</f>
        <v>0</v>
      </c>
      <c r="O150" s="202"/>
      <c r="P150" s="202"/>
      <c r="Q150" s="202"/>
      <c r="R150" s="24"/>
      <c r="T150" s="138"/>
      <c r="U150" s="30" t="s">
        <v>37</v>
      </c>
      <c r="V150" s="139">
        <v>0.93899999999999995</v>
      </c>
      <c r="W150" s="139">
        <f>$V$150*$K$150</f>
        <v>1.4798640000000001</v>
      </c>
      <c r="X150" s="139">
        <v>0</v>
      </c>
      <c r="Y150" s="139">
        <f>$X$150*$K$150</f>
        <v>0</v>
      </c>
      <c r="Z150" s="139">
        <v>7.5999999999999998E-2</v>
      </c>
      <c r="AA150" s="140">
        <f>$Z$150*$K$150</f>
        <v>0.11977600000000001</v>
      </c>
      <c r="AR150" s="6" t="s">
        <v>161</v>
      </c>
      <c r="AT150" s="6" t="s">
        <v>157</v>
      </c>
      <c r="AU150" s="6" t="s">
        <v>102</v>
      </c>
      <c r="AY150" s="6" t="s">
        <v>156</v>
      </c>
      <c r="BE150" s="88">
        <f>IF($U$150="základní",$N$150,0)</f>
        <v>0</v>
      </c>
      <c r="BF150" s="88">
        <f>IF($U$150="snížená",$N$150,0)</f>
        <v>0</v>
      </c>
      <c r="BG150" s="88">
        <f>IF($U$150="zákl. přenesená",$N$150,0)</f>
        <v>0</v>
      </c>
      <c r="BH150" s="88">
        <f>IF($U$150="sníž. přenesená",$N$150,0)</f>
        <v>0</v>
      </c>
      <c r="BI150" s="88">
        <f>IF($U$150="nulová",$N$150,0)</f>
        <v>0</v>
      </c>
      <c r="BJ150" s="6" t="s">
        <v>17</v>
      </c>
      <c r="BK150" s="88">
        <f>ROUND($L$150*$K$150,2)</f>
        <v>0</v>
      </c>
      <c r="BL150" s="6" t="s">
        <v>161</v>
      </c>
    </row>
    <row r="151" spans="2:64" s="6" customFormat="1" ht="27" customHeight="1" x14ac:dyDescent="0.3">
      <c r="B151" s="22"/>
      <c r="C151" s="134" t="s">
        <v>192</v>
      </c>
      <c r="D151" s="134" t="s">
        <v>157</v>
      </c>
      <c r="E151" s="135" t="s">
        <v>193</v>
      </c>
      <c r="F151" s="205" t="s">
        <v>194</v>
      </c>
      <c r="G151" s="202"/>
      <c r="H151" s="202"/>
      <c r="I151" s="202"/>
      <c r="J151" s="136" t="s">
        <v>195</v>
      </c>
      <c r="K151" s="137">
        <v>15</v>
      </c>
      <c r="L151" s="201">
        <v>0</v>
      </c>
      <c r="M151" s="202"/>
      <c r="N151" s="203">
        <f>ROUND($L$151*$K$151,2)</f>
        <v>0</v>
      </c>
      <c r="O151" s="202"/>
      <c r="P151" s="202"/>
      <c r="Q151" s="202"/>
      <c r="R151" s="24"/>
      <c r="T151" s="138"/>
      <c r="U151" s="30" t="s">
        <v>37</v>
      </c>
      <c r="V151" s="139">
        <v>0.13300000000000001</v>
      </c>
      <c r="W151" s="139">
        <f>$V$151*$K$151</f>
        <v>1.9950000000000001</v>
      </c>
      <c r="X151" s="139">
        <v>0</v>
      </c>
      <c r="Y151" s="139">
        <f>$X$151*$K$151</f>
        <v>0</v>
      </c>
      <c r="Z151" s="139">
        <v>1.2999999999999999E-2</v>
      </c>
      <c r="AA151" s="140">
        <f>$Z$151*$K$151</f>
        <v>0.19499999999999998</v>
      </c>
      <c r="AR151" s="6" t="s">
        <v>161</v>
      </c>
      <c r="AT151" s="6" t="s">
        <v>157</v>
      </c>
      <c r="AU151" s="6" t="s">
        <v>102</v>
      </c>
      <c r="AY151" s="6" t="s">
        <v>156</v>
      </c>
      <c r="BE151" s="88">
        <f>IF($U$151="základní",$N$151,0)</f>
        <v>0</v>
      </c>
      <c r="BF151" s="88">
        <f>IF($U$151="snížená",$N$151,0)</f>
        <v>0</v>
      </c>
      <c r="BG151" s="88">
        <f>IF($U$151="zákl. přenesená",$N$151,0)</f>
        <v>0</v>
      </c>
      <c r="BH151" s="88">
        <f>IF($U$151="sníž. přenesená",$N$151,0)</f>
        <v>0</v>
      </c>
      <c r="BI151" s="88">
        <f>IF($U$151="nulová",$N$151,0)</f>
        <v>0</v>
      </c>
      <c r="BJ151" s="6" t="s">
        <v>17</v>
      </c>
      <c r="BK151" s="88">
        <f>ROUND($L$151*$K$151,2)</f>
        <v>0</v>
      </c>
      <c r="BL151" s="6" t="s">
        <v>161</v>
      </c>
    </row>
    <row r="152" spans="2:64" s="6" customFormat="1" ht="15.75" customHeight="1" x14ac:dyDescent="0.3">
      <c r="B152" s="22"/>
      <c r="C152" s="134" t="s">
        <v>196</v>
      </c>
      <c r="D152" s="134" t="s">
        <v>157</v>
      </c>
      <c r="E152" s="135" t="s">
        <v>197</v>
      </c>
      <c r="F152" s="205" t="s">
        <v>198</v>
      </c>
      <c r="G152" s="202"/>
      <c r="H152" s="202"/>
      <c r="I152" s="202"/>
      <c r="J152" s="136" t="s">
        <v>195</v>
      </c>
      <c r="K152" s="137">
        <v>7</v>
      </c>
      <c r="L152" s="201">
        <v>0</v>
      </c>
      <c r="M152" s="202"/>
      <c r="N152" s="203">
        <f>ROUND($L$152*$K$152,2)</f>
        <v>0</v>
      </c>
      <c r="O152" s="202"/>
      <c r="P152" s="202"/>
      <c r="Q152" s="202"/>
      <c r="R152" s="24"/>
      <c r="T152" s="138"/>
      <c r="U152" s="30" t="s">
        <v>37</v>
      </c>
      <c r="V152" s="139">
        <v>0.49299999999999999</v>
      </c>
      <c r="W152" s="139">
        <f>$V$152*$K$152</f>
        <v>3.4510000000000001</v>
      </c>
      <c r="X152" s="139">
        <v>0</v>
      </c>
      <c r="Y152" s="139">
        <f>$X$152*$K$152</f>
        <v>0</v>
      </c>
      <c r="Z152" s="139">
        <v>6.3E-2</v>
      </c>
      <c r="AA152" s="140">
        <f>$Z$152*$K$152</f>
        <v>0.441</v>
      </c>
      <c r="AR152" s="6" t="s">
        <v>161</v>
      </c>
      <c r="AT152" s="6" t="s">
        <v>157</v>
      </c>
      <c r="AU152" s="6" t="s">
        <v>102</v>
      </c>
      <c r="AY152" s="6" t="s">
        <v>156</v>
      </c>
      <c r="BE152" s="88">
        <f>IF($U$152="základní",$N$152,0)</f>
        <v>0</v>
      </c>
      <c r="BF152" s="88">
        <f>IF($U$152="snížená",$N$152,0)</f>
        <v>0</v>
      </c>
      <c r="BG152" s="88">
        <f>IF($U$152="zákl. přenesená",$N$152,0)</f>
        <v>0</v>
      </c>
      <c r="BH152" s="88">
        <f>IF($U$152="sníž. přenesená",$N$152,0)</f>
        <v>0</v>
      </c>
      <c r="BI152" s="88">
        <f>IF($U$152="nulová",$N$152,0)</f>
        <v>0</v>
      </c>
      <c r="BJ152" s="6" t="s">
        <v>17</v>
      </c>
      <c r="BK152" s="88">
        <f>ROUND($L$152*$K$152,2)</f>
        <v>0</v>
      </c>
      <c r="BL152" s="6" t="s">
        <v>161</v>
      </c>
    </row>
    <row r="153" spans="2:64" s="6" customFormat="1" ht="27" customHeight="1" x14ac:dyDescent="0.3">
      <c r="B153" s="22"/>
      <c r="C153" s="134" t="s">
        <v>199</v>
      </c>
      <c r="D153" s="134" t="s">
        <v>157</v>
      </c>
      <c r="E153" s="135" t="s">
        <v>200</v>
      </c>
      <c r="F153" s="205" t="s">
        <v>201</v>
      </c>
      <c r="G153" s="202"/>
      <c r="H153" s="202"/>
      <c r="I153" s="202"/>
      <c r="J153" s="136" t="s">
        <v>160</v>
      </c>
      <c r="K153" s="137">
        <v>16.68</v>
      </c>
      <c r="L153" s="201">
        <v>0</v>
      </c>
      <c r="M153" s="202"/>
      <c r="N153" s="203">
        <f>ROUND($L$153*$K$153,2)</f>
        <v>0</v>
      </c>
      <c r="O153" s="202"/>
      <c r="P153" s="202"/>
      <c r="Q153" s="202"/>
      <c r="R153" s="24"/>
      <c r="T153" s="138"/>
      <c r="U153" s="30" t="s">
        <v>37</v>
      </c>
      <c r="V153" s="139">
        <v>0.3</v>
      </c>
      <c r="W153" s="139">
        <f>$V$153*$K$153</f>
        <v>5.0039999999999996</v>
      </c>
      <c r="X153" s="139">
        <v>0</v>
      </c>
      <c r="Y153" s="139">
        <f>$X$153*$K$153</f>
        <v>0</v>
      </c>
      <c r="Z153" s="139">
        <v>6.8000000000000005E-2</v>
      </c>
      <c r="AA153" s="140">
        <f>$Z$153*$K$153</f>
        <v>1.1342400000000001</v>
      </c>
      <c r="AR153" s="6" t="s">
        <v>161</v>
      </c>
      <c r="AT153" s="6" t="s">
        <v>157</v>
      </c>
      <c r="AU153" s="6" t="s">
        <v>102</v>
      </c>
      <c r="AY153" s="6" t="s">
        <v>156</v>
      </c>
      <c r="BE153" s="88">
        <f>IF($U$153="základní",$N$153,0)</f>
        <v>0</v>
      </c>
      <c r="BF153" s="88">
        <f>IF($U$153="snížená",$N$153,0)</f>
        <v>0</v>
      </c>
      <c r="BG153" s="88">
        <f>IF($U$153="zákl. přenesená",$N$153,0)</f>
        <v>0</v>
      </c>
      <c r="BH153" s="88">
        <f>IF($U$153="sníž. přenesená",$N$153,0)</f>
        <v>0</v>
      </c>
      <c r="BI153" s="88">
        <f>IF($U$153="nulová",$N$153,0)</f>
        <v>0</v>
      </c>
      <c r="BJ153" s="6" t="s">
        <v>17</v>
      </c>
      <c r="BK153" s="88">
        <f>ROUND($L$153*$K$153,2)</f>
        <v>0</v>
      </c>
      <c r="BL153" s="6" t="s">
        <v>161</v>
      </c>
    </row>
    <row r="154" spans="2:64" s="123" customFormat="1" ht="23.25" customHeight="1" x14ac:dyDescent="0.3">
      <c r="B154" s="124"/>
      <c r="C154" s="125"/>
      <c r="D154" s="133" t="s">
        <v>116</v>
      </c>
      <c r="E154" s="125"/>
      <c r="F154" s="125"/>
      <c r="G154" s="125"/>
      <c r="H154" s="125"/>
      <c r="I154" s="125"/>
      <c r="J154" s="125"/>
      <c r="K154" s="125"/>
      <c r="L154" s="125"/>
      <c r="M154" s="125"/>
      <c r="N154" s="195">
        <f>$BK$154</f>
        <v>0</v>
      </c>
      <c r="O154" s="196"/>
      <c r="P154" s="196"/>
      <c r="Q154" s="196"/>
      <c r="R154" s="127"/>
      <c r="T154" s="128"/>
      <c r="U154" s="125"/>
      <c r="V154" s="125"/>
      <c r="W154" s="129">
        <f>SUM($W$155:$W$158)</f>
        <v>1.25495</v>
      </c>
      <c r="X154" s="125"/>
      <c r="Y154" s="129">
        <f>SUM($Y$155:$Y$158)</f>
        <v>0</v>
      </c>
      <c r="Z154" s="125"/>
      <c r="AA154" s="130">
        <f>SUM($AA$155:$AA$158)</f>
        <v>0</v>
      </c>
      <c r="AR154" s="131" t="s">
        <v>17</v>
      </c>
      <c r="AT154" s="131" t="s">
        <v>71</v>
      </c>
      <c r="AU154" s="131" t="s">
        <v>102</v>
      </c>
      <c r="AY154" s="131" t="s">
        <v>156</v>
      </c>
      <c r="BK154" s="132">
        <f>SUM($BK$155:$BK$158)</f>
        <v>0</v>
      </c>
    </row>
    <row r="155" spans="2:64" s="6" customFormat="1" ht="27" customHeight="1" x14ac:dyDescent="0.3">
      <c r="B155" s="22"/>
      <c r="C155" s="134" t="s">
        <v>8</v>
      </c>
      <c r="D155" s="134" t="s">
        <v>157</v>
      </c>
      <c r="E155" s="135" t="s">
        <v>202</v>
      </c>
      <c r="F155" s="205" t="s">
        <v>203</v>
      </c>
      <c r="G155" s="202"/>
      <c r="H155" s="202"/>
      <c r="I155" s="202"/>
      <c r="J155" s="136" t="s">
        <v>204</v>
      </c>
      <c r="K155" s="137">
        <v>4.51</v>
      </c>
      <c r="L155" s="201">
        <v>0</v>
      </c>
      <c r="M155" s="202"/>
      <c r="N155" s="203">
        <f>ROUND($L$155*$K$155,2)</f>
        <v>0</v>
      </c>
      <c r="O155" s="202"/>
      <c r="P155" s="202"/>
      <c r="Q155" s="202"/>
      <c r="R155" s="24"/>
      <c r="T155" s="138"/>
      <c r="U155" s="30" t="s">
        <v>37</v>
      </c>
      <c r="V155" s="139">
        <v>0.125</v>
      </c>
      <c r="W155" s="139">
        <f>$V$155*$K$155</f>
        <v>0.56374999999999997</v>
      </c>
      <c r="X155" s="139">
        <v>0</v>
      </c>
      <c r="Y155" s="139">
        <f>$X$155*$K$155</f>
        <v>0</v>
      </c>
      <c r="Z155" s="139">
        <v>0</v>
      </c>
      <c r="AA155" s="140">
        <f>$Z$155*$K$155</f>
        <v>0</v>
      </c>
      <c r="AR155" s="6" t="s">
        <v>161</v>
      </c>
      <c r="AT155" s="6" t="s">
        <v>157</v>
      </c>
      <c r="AU155" s="6" t="s">
        <v>164</v>
      </c>
      <c r="AY155" s="6" t="s">
        <v>156</v>
      </c>
      <c r="BE155" s="88">
        <f>IF($U$155="základní",$N$155,0)</f>
        <v>0</v>
      </c>
      <c r="BF155" s="88">
        <f>IF($U$155="snížená",$N$155,0)</f>
        <v>0</v>
      </c>
      <c r="BG155" s="88">
        <f>IF($U$155="zákl. přenesená",$N$155,0)</f>
        <v>0</v>
      </c>
      <c r="BH155" s="88">
        <f>IF($U$155="sníž. přenesená",$N$155,0)</f>
        <v>0</v>
      </c>
      <c r="BI155" s="88">
        <f>IF($U$155="nulová",$N$155,0)</f>
        <v>0</v>
      </c>
      <c r="BJ155" s="6" t="s">
        <v>17</v>
      </c>
      <c r="BK155" s="88">
        <f>ROUND($L$155*$K$155,2)</f>
        <v>0</v>
      </c>
      <c r="BL155" s="6" t="s">
        <v>161</v>
      </c>
    </row>
    <row r="156" spans="2:64" s="6" customFormat="1" ht="27" customHeight="1" x14ac:dyDescent="0.3">
      <c r="B156" s="22"/>
      <c r="C156" s="134" t="s">
        <v>161</v>
      </c>
      <c r="D156" s="134" t="s">
        <v>157</v>
      </c>
      <c r="E156" s="135" t="s">
        <v>205</v>
      </c>
      <c r="F156" s="205" t="s">
        <v>206</v>
      </c>
      <c r="G156" s="202"/>
      <c r="H156" s="202"/>
      <c r="I156" s="202"/>
      <c r="J156" s="136" t="s">
        <v>204</v>
      </c>
      <c r="K156" s="137">
        <v>67.5</v>
      </c>
      <c r="L156" s="201">
        <v>0</v>
      </c>
      <c r="M156" s="202"/>
      <c r="N156" s="203">
        <f>ROUND($L$156*$K$156,2)</f>
        <v>0</v>
      </c>
      <c r="O156" s="202"/>
      <c r="P156" s="202"/>
      <c r="Q156" s="202"/>
      <c r="R156" s="24"/>
      <c r="T156" s="138"/>
      <c r="U156" s="30" t="s">
        <v>37</v>
      </c>
      <c r="V156" s="139">
        <v>6.0000000000000001E-3</v>
      </c>
      <c r="W156" s="139">
        <f>$V$156*$K$156</f>
        <v>0.40500000000000003</v>
      </c>
      <c r="X156" s="139">
        <v>0</v>
      </c>
      <c r="Y156" s="139">
        <f>$X$156*$K$156</f>
        <v>0</v>
      </c>
      <c r="Z156" s="139">
        <v>0</v>
      </c>
      <c r="AA156" s="140">
        <f>$Z$156*$K$156</f>
        <v>0</v>
      </c>
      <c r="AR156" s="6" t="s">
        <v>161</v>
      </c>
      <c r="AT156" s="6" t="s">
        <v>157</v>
      </c>
      <c r="AU156" s="6" t="s">
        <v>164</v>
      </c>
      <c r="AY156" s="6" t="s">
        <v>156</v>
      </c>
      <c r="BE156" s="88">
        <f>IF($U$156="základní",$N$156,0)</f>
        <v>0</v>
      </c>
      <c r="BF156" s="88">
        <f>IF($U$156="snížená",$N$156,0)</f>
        <v>0</v>
      </c>
      <c r="BG156" s="88">
        <f>IF($U$156="zákl. přenesená",$N$156,0)</f>
        <v>0</v>
      </c>
      <c r="BH156" s="88">
        <f>IF($U$156="sníž. přenesená",$N$156,0)</f>
        <v>0</v>
      </c>
      <c r="BI156" s="88">
        <f>IF($U$156="nulová",$N$156,0)</f>
        <v>0</v>
      </c>
      <c r="BJ156" s="6" t="s">
        <v>17</v>
      </c>
      <c r="BK156" s="88">
        <f>ROUND($L$156*$K$156,2)</f>
        <v>0</v>
      </c>
      <c r="BL156" s="6" t="s">
        <v>161</v>
      </c>
    </row>
    <row r="157" spans="2:64" s="6" customFormat="1" ht="27" customHeight="1" x14ac:dyDescent="0.3">
      <c r="B157" s="22"/>
      <c r="C157" s="134" t="s">
        <v>207</v>
      </c>
      <c r="D157" s="134" t="s">
        <v>157</v>
      </c>
      <c r="E157" s="135" t="s">
        <v>208</v>
      </c>
      <c r="F157" s="205" t="s">
        <v>209</v>
      </c>
      <c r="G157" s="202"/>
      <c r="H157" s="202"/>
      <c r="I157" s="202"/>
      <c r="J157" s="136" t="s">
        <v>204</v>
      </c>
      <c r="K157" s="137">
        <v>4.51</v>
      </c>
      <c r="L157" s="201">
        <v>0</v>
      </c>
      <c r="M157" s="202"/>
      <c r="N157" s="203">
        <f>ROUND($L$157*$K$157,2)</f>
        <v>0</v>
      </c>
      <c r="O157" s="202"/>
      <c r="P157" s="202"/>
      <c r="Q157" s="202"/>
      <c r="R157" s="24"/>
      <c r="T157" s="138"/>
      <c r="U157" s="30" t="s">
        <v>37</v>
      </c>
      <c r="V157" s="139">
        <v>0</v>
      </c>
      <c r="W157" s="139">
        <f>$V$157*$K$157</f>
        <v>0</v>
      </c>
      <c r="X157" s="139">
        <v>0</v>
      </c>
      <c r="Y157" s="139">
        <f>$X$157*$K$157</f>
        <v>0</v>
      </c>
      <c r="Z157" s="139">
        <v>0</v>
      </c>
      <c r="AA157" s="140">
        <f>$Z$157*$K$157</f>
        <v>0</v>
      </c>
      <c r="AR157" s="6" t="s">
        <v>161</v>
      </c>
      <c r="AT157" s="6" t="s">
        <v>157</v>
      </c>
      <c r="AU157" s="6" t="s">
        <v>164</v>
      </c>
      <c r="AY157" s="6" t="s">
        <v>156</v>
      </c>
      <c r="BE157" s="88">
        <f>IF($U$157="základní",$N$157,0)</f>
        <v>0</v>
      </c>
      <c r="BF157" s="88">
        <f>IF($U$157="snížená",$N$157,0)</f>
        <v>0</v>
      </c>
      <c r="BG157" s="88">
        <f>IF($U$157="zákl. přenesená",$N$157,0)</f>
        <v>0</v>
      </c>
      <c r="BH157" s="88">
        <f>IF($U$157="sníž. přenesená",$N$157,0)</f>
        <v>0</v>
      </c>
      <c r="BI157" s="88">
        <f>IF($U$157="nulová",$N$157,0)</f>
        <v>0</v>
      </c>
      <c r="BJ157" s="6" t="s">
        <v>17</v>
      </c>
      <c r="BK157" s="88">
        <f>ROUND($L$157*$K$157,2)</f>
        <v>0</v>
      </c>
      <c r="BL157" s="6" t="s">
        <v>161</v>
      </c>
    </row>
    <row r="158" spans="2:64" s="6" customFormat="1" ht="15.75" customHeight="1" x14ac:dyDescent="0.3">
      <c r="B158" s="22"/>
      <c r="C158" s="134" t="s">
        <v>210</v>
      </c>
      <c r="D158" s="134" t="s">
        <v>157</v>
      </c>
      <c r="E158" s="135" t="s">
        <v>211</v>
      </c>
      <c r="F158" s="205" t="s">
        <v>212</v>
      </c>
      <c r="G158" s="202"/>
      <c r="H158" s="202"/>
      <c r="I158" s="202"/>
      <c r="J158" s="136" t="s">
        <v>204</v>
      </c>
      <c r="K158" s="137">
        <v>0.9</v>
      </c>
      <c r="L158" s="201">
        <v>0</v>
      </c>
      <c r="M158" s="202"/>
      <c r="N158" s="203">
        <f>ROUND($L$158*$K$158,2)</f>
        <v>0</v>
      </c>
      <c r="O158" s="202"/>
      <c r="P158" s="202"/>
      <c r="Q158" s="202"/>
      <c r="R158" s="24"/>
      <c r="T158" s="138"/>
      <c r="U158" s="30" t="s">
        <v>37</v>
      </c>
      <c r="V158" s="139">
        <v>0.318</v>
      </c>
      <c r="W158" s="139">
        <f>$V$158*$K$158</f>
        <v>0.28620000000000001</v>
      </c>
      <c r="X158" s="139">
        <v>0</v>
      </c>
      <c r="Y158" s="139">
        <f>$X$158*$K$158</f>
        <v>0</v>
      </c>
      <c r="Z158" s="139">
        <v>0</v>
      </c>
      <c r="AA158" s="140">
        <f>$Z$158*$K$158</f>
        <v>0</v>
      </c>
      <c r="AR158" s="6" t="s">
        <v>161</v>
      </c>
      <c r="AT158" s="6" t="s">
        <v>157</v>
      </c>
      <c r="AU158" s="6" t="s">
        <v>164</v>
      </c>
      <c r="AY158" s="6" t="s">
        <v>156</v>
      </c>
      <c r="BE158" s="88">
        <f>IF($U$158="základní",$N$158,0)</f>
        <v>0</v>
      </c>
      <c r="BF158" s="88">
        <f>IF($U$158="snížená",$N$158,0)</f>
        <v>0</v>
      </c>
      <c r="BG158" s="88">
        <f>IF($U$158="zákl. přenesená",$N$158,0)</f>
        <v>0</v>
      </c>
      <c r="BH158" s="88">
        <f>IF($U$158="sníž. přenesená",$N$158,0)</f>
        <v>0</v>
      </c>
      <c r="BI158" s="88">
        <f>IF($U$158="nulová",$N$158,0)</f>
        <v>0</v>
      </c>
      <c r="BJ158" s="6" t="s">
        <v>17</v>
      </c>
      <c r="BK158" s="88">
        <f>ROUND($L$158*$K$158,2)</f>
        <v>0</v>
      </c>
      <c r="BL158" s="6" t="s">
        <v>161</v>
      </c>
    </row>
    <row r="159" spans="2:64" s="123" customFormat="1" ht="37.5" customHeight="1" x14ac:dyDescent="0.35">
      <c r="B159" s="124"/>
      <c r="C159" s="125"/>
      <c r="D159" s="126" t="s">
        <v>117</v>
      </c>
      <c r="E159" s="125"/>
      <c r="F159" s="125"/>
      <c r="G159" s="125"/>
      <c r="H159" s="125"/>
      <c r="I159" s="125"/>
      <c r="J159" s="125"/>
      <c r="K159" s="125"/>
      <c r="L159" s="125"/>
      <c r="M159" s="125"/>
      <c r="N159" s="197">
        <f>$BK$159</f>
        <v>0</v>
      </c>
      <c r="O159" s="196"/>
      <c r="P159" s="196"/>
      <c r="Q159" s="196"/>
      <c r="R159" s="127"/>
      <c r="T159" s="128"/>
      <c r="U159" s="125"/>
      <c r="V159" s="125"/>
      <c r="W159" s="129">
        <f>$W$160+$W$163+$W$168+$W$176+$W$192+$W$194+$W$197+$W$199+$W$205+$W$212+$W$216+$W$218</f>
        <v>71.622806999999995</v>
      </c>
      <c r="X159" s="125"/>
      <c r="Y159" s="129">
        <f>$Y$160+$Y$163+$Y$168+$Y$176+$Y$192+$Y$194+$Y$197+$Y$199+$Y$205+$Y$212+$Y$216+$Y$218</f>
        <v>1.0165881999999999</v>
      </c>
      <c r="Z159" s="125"/>
      <c r="AA159" s="130">
        <f>$AA$160+$AA$163+$AA$168+$AA$176+$AA$192+$AA$194+$AA$197+$AA$199+$AA$205+$AA$212+$AA$216+$AA$218</f>
        <v>6.9483000000000003E-2</v>
      </c>
      <c r="AR159" s="131" t="s">
        <v>102</v>
      </c>
      <c r="AT159" s="131" t="s">
        <v>71</v>
      </c>
      <c r="AU159" s="131" t="s">
        <v>72</v>
      </c>
      <c r="AY159" s="131" t="s">
        <v>156</v>
      </c>
      <c r="BK159" s="132">
        <f>$BK$160+$BK$163+$BK$168+$BK$176+$BK$192+$BK$194+$BK$197+$BK$199+$BK$205+$BK$212+$BK$216+$BK$218</f>
        <v>0</v>
      </c>
    </row>
    <row r="160" spans="2:64" s="123" customFormat="1" ht="21" customHeight="1" x14ac:dyDescent="0.3">
      <c r="B160" s="124"/>
      <c r="C160" s="125"/>
      <c r="D160" s="133" t="s">
        <v>118</v>
      </c>
      <c r="E160" s="125"/>
      <c r="F160" s="125"/>
      <c r="G160" s="125"/>
      <c r="H160" s="125"/>
      <c r="I160" s="125"/>
      <c r="J160" s="125"/>
      <c r="K160" s="125"/>
      <c r="L160" s="125"/>
      <c r="M160" s="125"/>
      <c r="N160" s="195">
        <f>$BK$160</f>
        <v>0</v>
      </c>
      <c r="O160" s="196"/>
      <c r="P160" s="196"/>
      <c r="Q160" s="196"/>
      <c r="R160" s="127"/>
      <c r="T160" s="128"/>
      <c r="U160" s="125"/>
      <c r="V160" s="125"/>
      <c r="W160" s="129">
        <f>SUM($W$161:$W$162)</f>
        <v>0.97536199999999995</v>
      </c>
      <c r="X160" s="125"/>
      <c r="Y160" s="129">
        <f>SUM($Y$161:$Y$162)</f>
        <v>1.89E-2</v>
      </c>
      <c r="Z160" s="125"/>
      <c r="AA160" s="130">
        <f>SUM($AA$161:$AA$162)</f>
        <v>0</v>
      </c>
      <c r="AR160" s="131" t="s">
        <v>102</v>
      </c>
      <c r="AT160" s="131" t="s">
        <v>71</v>
      </c>
      <c r="AU160" s="131" t="s">
        <v>17</v>
      </c>
      <c r="AY160" s="131" t="s">
        <v>156</v>
      </c>
      <c r="BK160" s="132">
        <f>SUM($BK$161:$BK$162)</f>
        <v>0</v>
      </c>
    </row>
    <row r="161" spans="2:64" s="6" customFormat="1" ht="27" customHeight="1" x14ac:dyDescent="0.3">
      <c r="B161" s="22"/>
      <c r="C161" s="134" t="s">
        <v>213</v>
      </c>
      <c r="D161" s="134" t="s">
        <v>157</v>
      </c>
      <c r="E161" s="135" t="s">
        <v>214</v>
      </c>
      <c r="F161" s="205" t="s">
        <v>215</v>
      </c>
      <c r="G161" s="202"/>
      <c r="H161" s="202"/>
      <c r="I161" s="202"/>
      <c r="J161" s="136" t="s">
        <v>160</v>
      </c>
      <c r="K161" s="137">
        <v>6.3</v>
      </c>
      <c r="L161" s="201">
        <v>0</v>
      </c>
      <c r="M161" s="202"/>
      <c r="N161" s="203">
        <f>ROUND($L$161*$K$161,2)</f>
        <v>0</v>
      </c>
      <c r="O161" s="202"/>
      <c r="P161" s="202"/>
      <c r="Q161" s="202"/>
      <c r="R161" s="24"/>
      <c r="T161" s="138"/>
      <c r="U161" s="30" t="s">
        <v>37</v>
      </c>
      <c r="V161" s="139">
        <v>0.15</v>
      </c>
      <c r="W161" s="139">
        <f>$V$161*$K$161</f>
        <v>0.94499999999999995</v>
      </c>
      <c r="X161" s="139">
        <v>3.0000000000000001E-3</v>
      </c>
      <c r="Y161" s="139">
        <f>$X$161*$K$161</f>
        <v>1.89E-2</v>
      </c>
      <c r="Z161" s="139">
        <v>0</v>
      </c>
      <c r="AA161" s="140">
        <f>$Z$161*$K$161</f>
        <v>0</v>
      </c>
      <c r="AR161" s="6" t="s">
        <v>161</v>
      </c>
      <c r="AT161" s="6" t="s">
        <v>157</v>
      </c>
      <c r="AU161" s="6" t="s">
        <v>102</v>
      </c>
      <c r="AY161" s="6" t="s">
        <v>156</v>
      </c>
      <c r="BE161" s="88">
        <f>IF($U$161="základní",$N$161,0)</f>
        <v>0</v>
      </c>
      <c r="BF161" s="88">
        <f>IF($U$161="snížená",$N$161,0)</f>
        <v>0</v>
      </c>
      <c r="BG161" s="88">
        <f>IF($U$161="zákl. přenesená",$N$161,0)</f>
        <v>0</v>
      </c>
      <c r="BH161" s="88">
        <f>IF($U$161="sníž. přenesená",$N$161,0)</f>
        <v>0</v>
      </c>
      <c r="BI161" s="88">
        <f>IF($U$161="nulová",$N$161,0)</f>
        <v>0</v>
      </c>
      <c r="BJ161" s="6" t="s">
        <v>17</v>
      </c>
      <c r="BK161" s="88">
        <f>ROUND($L$161*$K$161,2)</f>
        <v>0</v>
      </c>
      <c r="BL161" s="6" t="s">
        <v>161</v>
      </c>
    </row>
    <row r="162" spans="2:64" s="6" customFormat="1" ht="27" customHeight="1" x14ac:dyDescent="0.3">
      <c r="B162" s="22"/>
      <c r="C162" s="134" t="s">
        <v>216</v>
      </c>
      <c r="D162" s="134" t="s">
        <v>157</v>
      </c>
      <c r="E162" s="135" t="s">
        <v>217</v>
      </c>
      <c r="F162" s="205" t="s">
        <v>218</v>
      </c>
      <c r="G162" s="202"/>
      <c r="H162" s="202"/>
      <c r="I162" s="202"/>
      <c r="J162" s="136" t="s">
        <v>204</v>
      </c>
      <c r="K162" s="137">
        <v>1.9E-2</v>
      </c>
      <c r="L162" s="201">
        <v>0</v>
      </c>
      <c r="M162" s="202"/>
      <c r="N162" s="203">
        <f>ROUND($L$162*$K$162,2)</f>
        <v>0</v>
      </c>
      <c r="O162" s="202"/>
      <c r="P162" s="202"/>
      <c r="Q162" s="202"/>
      <c r="R162" s="24"/>
      <c r="T162" s="138"/>
      <c r="U162" s="30" t="s">
        <v>37</v>
      </c>
      <c r="V162" s="139">
        <v>1.5980000000000001</v>
      </c>
      <c r="W162" s="139">
        <f>$V$162*$K$162</f>
        <v>3.0362E-2</v>
      </c>
      <c r="X162" s="139">
        <v>0</v>
      </c>
      <c r="Y162" s="139">
        <f>$X$162*$K$162</f>
        <v>0</v>
      </c>
      <c r="Z162" s="139">
        <v>0</v>
      </c>
      <c r="AA162" s="140">
        <f>$Z$162*$K$162</f>
        <v>0</v>
      </c>
      <c r="AR162" s="6" t="s">
        <v>161</v>
      </c>
      <c r="AT162" s="6" t="s">
        <v>157</v>
      </c>
      <c r="AU162" s="6" t="s">
        <v>102</v>
      </c>
      <c r="AY162" s="6" t="s">
        <v>156</v>
      </c>
      <c r="BE162" s="88">
        <f>IF($U$162="základní",$N$162,0)</f>
        <v>0</v>
      </c>
      <c r="BF162" s="88">
        <f>IF($U$162="snížená",$N$162,0)</f>
        <v>0</v>
      </c>
      <c r="BG162" s="88">
        <f>IF($U$162="zákl. přenesená",$N$162,0)</f>
        <v>0</v>
      </c>
      <c r="BH162" s="88">
        <f>IF($U$162="sníž. přenesená",$N$162,0)</f>
        <v>0</v>
      </c>
      <c r="BI162" s="88">
        <f>IF($U$162="nulová",$N$162,0)</f>
        <v>0</v>
      </c>
      <c r="BJ162" s="6" t="s">
        <v>17</v>
      </c>
      <c r="BK162" s="88">
        <f>ROUND($L$162*$K$162,2)</f>
        <v>0</v>
      </c>
      <c r="BL162" s="6" t="s">
        <v>161</v>
      </c>
    </row>
    <row r="163" spans="2:64" s="123" customFormat="1" ht="30.75" customHeight="1" x14ac:dyDescent="0.3">
      <c r="B163" s="124"/>
      <c r="C163" s="125"/>
      <c r="D163" s="133" t="s">
        <v>119</v>
      </c>
      <c r="E163" s="125"/>
      <c r="F163" s="125"/>
      <c r="G163" s="125"/>
      <c r="H163" s="125"/>
      <c r="I163" s="125"/>
      <c r="J163" s="125"/>
      <c r="K163" s="125"/>
      <c r="L163" s="125"/>
      <c r="M163" s="125"/>
      <c r="N163" s="195">
        <f>$BK$163</f>
        <v>0</v>
      </c>
      <c r="O163" s="196"/>
      <c r="P163" s="196"/>
      <c r="Q163" s="196"/>
      <c r="R163" s="127"/>
      <c r="T163" s="128"/>
      <c r="U163" s="125"/>
      <c r="V163" s="125"/>
      <c r="W163" s="129">
        <f>SUM($W$164:$W$167)</f>
        <v>5.7466150000000011</v>
      </c>
      <c r="X163" s="125"/>
      <c r="Y163" s="129">
        <f>SUM($Y$164:$Y$167)</f>
        <v>4.7299999999999998E-3</v>
      </c>
      <c r="Z163" s="125"/>
      <c r="AA163" s="130">
        <f>SUM($AA$164:$AA$167)</f>
        <v>0</v>
      </c>
      <c r="AR163" s="131" t="s">
        <v>102</v>
      </c>
      <c r="AT163" s="131" t="s">
        <v>71</v>
      </c>
      <c r="AU163" s="131" t="s">
        <v>17</v>
      </c>
      <c r="AY163" s="131" t="s">
        <v>156</v>
      </c>
      <c r="BK163" s="132">
        <f>SUM($BK$164:$BK$167)</f>
        <v>0</v>
      </c>
    </row>
    <row r="164" spans="2:64" s="6" customFormat="1" ht="27" customHeight="1" x14ac:dyDescent="0.3">
      <c r="B164" s="22"/>
      <c r="C164" s="134" t="s">
        <v>7</v>
      </c>
      <c r="D164" s="134" t="s">
        <v>157</v>
      </c>
      <c r="E164" s="135" t="s">
        <v>219</v>
      </c>
      <c r="F164" s="205" t="s">
        <v>220</v>
      </c>
      <c r="G164" s="202"/>
      <c r="H164" s="202"/>
      <c r="I164" s="202"/>
      <c r="J164" s="136" t="s">
        <v>195</v>
      </c>
      <c r="K164" s="137">
        <v>4</v>
      </c>
      <c r="L164" s="201">
        <v>0</v>
      </c>
      <c r="M164" s="202"/>
      <c r="N164" s="203">
        <f>ROUND($L$164*$K$164,2)</f>
        <v>0</v>
      </c>
      <c r="O164" s="202"/>
      <c r="P164" s="202"/>
      <c r="Q164" s="202"/>
      <c r="R164" s="24"/>
      <c r="T164" s="138"/>
      <c r="U164" s="30" t="s">
        <v>37</v>
      </c>
      <c r="V164" s="139">
        <v>0.73499999999999999</v>
      </c>
      <c r="W164" s="139">
        <f>$V$164*$K$164</f>
        <v>2.94</v>
      </c>
      <c r="X164" s="139">
        <v>5.5999999999999995E-4</v>
      </c>
      <c r="Y164" s="139">
        <f>$X$164*$K$164</f>
        <v>2.2399999999999998E-3</v>
      </c>
      <c r="Z164" s="139">
        <v>0</v>
      </c>
      <c r="AA164" s="140">
        <f>$Z$164*$K$164</f>
        <v>0</v>
      </c>
      <c r="AR164" s="6" t="s">
        <v>161</v>
      </c>
      <c r="AT164" s="6" t="s">
        <v>157</v>
      </c>
      <c r="AU164" s="6" t="s">
        <v>102</v>
      </c>
      <c r="AY164" s="6" t="s">
        <v>156</v>
      </c>
      <c r="BE164" s="88">
        <f>IF($U$164="základní",$N$164,0)</f>
        <v>0</v>
      </c>
      <c r="BF164" s="88">
        <f>IF($U$164="snížená",$N$164,0)</f>
        <v>0</v>
      </c>
      <c r="BG164" s="88">
        <f>IF($U$164="zákl. přenesená",$N$164,0)</f>
        <v>0</v>
      </c>
      <c r="BH164" s="88">
        <f>IF($U$164="sníž. přenesená",$N$164,0)</f>
        <v>0</v>
      </c>
      <c r="BI164" s="88">
        <f>IF($U$164="nulová",$N$164,0)</f>
        <v>0</v>
      </c>
      <c r="BJ164" s="6" t="s">
        <v>17</v>
      </c>
      <c r="BK164" s="88">
        <f>ROUND($L$164*$K$164,2)</f>
        <v>0</v>
      </c>
      <c r="BL164" s="6" t="s">
        <v>161</v>
      </c>
    </row>
    <row r="165" spans="2:64" s="6" customFormat="1" ht="27" customHeight="1" x14ac:dyDescent="0.3">
      <c r="B165" s="22"/>
      <c r="C165" s="134" t="s">
        <v>221</v>
      </c>
      <c r="D165" s="134" t="s">
        <v>157</v>
      </c>
      <c r="E165" s="135" t="s">
        <v>222</v>
      </c>
      <c r="F165" s="205" t="s">
        <v>223</v>
      </c>
      <c r="G165" s="202"/>
      <c r="H165" s="202"/>
      <c r="I165" s="202"/>
      <c r="J165" s="136" t="s">
        <v>195</v>
      </c>
      <c r="K165" s="137">
        <v>3</v>
      </c>
      <c r="L165" s="201">
        <v>0</v>
      </c>
      <c r="M165" s="202"/>
      <c r="N165" s="203">
        <f>ROUND($L$165*$K$165,2)</f>
        <v>0</v>
      </c>
      <c r="O165" s="202"/>
      <c r="P165" s="202"/>
      <c r="Q165" s="202"/>
      <c r="R165" s="24"/>
      <c r="T165" s="138"/>
      <c r="U165" s="30" t="s">
        <v>37</v>
      </c>
      <c r="V165" s="139">
        <v>0.82099999999999995</v>
      </c>
      <c r="W165" s="139">
        <f>$V$165*$K$165</f>
        <v>2.4630000000000001</v>
      </c>
      <c r="X165" s="139">
        <v>8.3000000000000001E-4</v>
      </c>
      <c r="Y165" s="139">
        <f>$X$165*$K$165</f>
        <v>2.49E-3</v>
      </c>
      <c r="Z165" s="139">
        <v>0</v>
      </c>
      <c r="AA165" s="140">
        <f>$Z$165*$K$165</f>
        <v>0</v>
      </c>
      <c r="AR165" s="6" t="s">
        <v>161</v>
      </c>
      <c r="AT165" s="6" t="s">
        <v>157</v>
      </c>
      <c r="AU165" s="6" t="s">
        <v>102</v>
      </c>
      <c r="AY165" s="6" t="s">
        <v>156</v>
      </c>
      <c r="BE165" s="88">
        <f>IF($U$165="základní",$N$165,0)</f>
        <v>0</v>
      </c>
      <c r="BF165" s="88">
        <f>IF($U$165="snížená",$N$165,0)</f>
        <v>0</v>
      </c>
      <c r="BG165" s="88">
        <f>IF($U$165="zákl. přenesená",$N$165,0)</f>
        <v>0</v>
      </c>
      <c r="BH165" s="88">
        <f>IF($U$165="sníž. přenesená",$N$165,0)</f>
        <v>0</v>
      </c>
      <c r="BI165" s="88">
        <f>IF($U$165="nulová",$N$165,0)</f>
        <v>0</v>
      </c>
      <c r="BJ165" s="6" t="s">
        <v>17</v>
      </c>
      <c r="BK165" s="88">
        <f>ROUND($L$165*$K$165,2)</f>
        <v>0</v>
      </c>
      <c r="BL165" s="6" t="s">
        <v>161</v>
      </c>
    </row>
    <row r="166" spans="2:64" s="6" customFormat="1" ht="27" customHeight="1" x14ac:dyDescent="0.3">
      <c r="B166" s="22"/>
      <c r="C166" s="134" t="s">
        <v>224</v>
      </c>
      <c r="D166" s="134" t="s">
        <v>157</v>
      </c>
      <c r="E166" s="135" t="s">
        <v>225</v>
      </c>
      <c r="F166" s="205" t="s">
        <v>226</v>
      </c>
      <c r="G166" s="202"/>
      <c r="H166" s="202"/>
      <c r="I166" s="202"/>
      <c r="J166" s="136" t="s">
        <v>195</v>
      </c>
      <c r="K166" s="137">
        <v>7</v>
      </c>
      <c r="L166" s="201">
        <v>0</v>
      </c>
      <c r="M166" s="202"/>
      <c r="N166" s="203">
        <f>ROUND($L$166*$K$166,2)</f>
        <v>0</v>
      </c>
      <c r="O166" s="202"/>
      <c r="P166" s="202"/>
      <c r="Q166" s="202"/>
      <c r="R166" s="24"/>
      <c r="T166" s="138"/>
      <c r="U166" s="30" t="s">
        <v>37</v>
      </c>
      <c r="V166" s="139">
        <v>4.8000000000000001E-2</v>
      </c>
      <c r="W166" s="139">
        <f>$V$166*$K$166</f>
        <v>0.33600000000000002</v>
      </c>
      <c r="X166" s="139">
        <v>0</v>
      </c>
      <c r="Y166" s="139">
        <f>$X$166*$K$166</f>
        <v>0</v>
      </c>
      <c r="Z166" s="139">
        <v>0</v>
      </c>
      <c r="AA166" s="140">
        <f>$Z$166*$K$166</f>
        <v>0</v>
      </c>
      <c r="AR166" s="6" t="s">
        <v>161</v>
      </c>
      <c r="AT166" s="6" t="s">
        <v>157</v>
      </c>
      <c r="AU166" s="6" t="s">
        <v>102</v>
      </c>
      <c r="AY166" s="6" t="s">
        <v>156</v>
      </c>
      <c r="BE166" s="88">
        <f>IF($U$166="základní",$N$166,0)</f>
        <v>0</v>
      </c>
      <c r="BF166" s="88">
        <f>IF($U$166="snížená",$N$166,0)</f>
        <v>0</v>
      </c>
      <c r="BG166" s="88">
        <f>IF($U$166="zákl. přenesená",$N$166,0)</f>
        <v>0</v>
      </c>
      <c r="BH166" s="88">
        <f>IF($U$166="sníž. přenesená",$N$166,0)</f>
        <v>0</v>
      </c>
      <c r="BI166" s="88">
        <f>IF($U$166="nulová",$N$166,0)</f>
        <v>0</v>
      </c>
      <c r="BJ166" s="6" t="s">
        <v>17</v>
      </c>
      <c r="BK166" s="88">
        <f>ROUND($L$166*$K$166,2)</f>
        <v>0</v>
      </c>
      <c r="BL166" s="6" t="s">
        <v>161</v>
      </c>
    </row>
    <row r="167" spans="2:64" s="6" customFormat="1" ht="27" customHeight="1" x14ac:dyDescent="0.3">
      <c r="B167" s="22"/>
      <c r="C167" s="134" t="s">
        <v>227</v>
      </c>
      <c r="D167" s="134" t="s">
        <v>157</v>
      </c>
      <c r="E167" s="135" t="s">
        <v>228</v>
      </c>
      <c r="F167" s="205" t="s">
        <v>229</v>
      </c>
      <c r="G167" s="202"/>
      <c r="H167" s="202"/>
      <c r="I167" s="202"/>
      <c r="J167" s="136" t="s">
        <v>204</v>
      </c>
      <c r="K167" s="137">
        <v>5.0000000000000001E-3</v>
      </c>
      <c r="L167" s="201">
        <v>0</v>
      </c>
      <c r="M167" s="202"/>
      <c r="N167" s="203">
        <f>ROUND($L$167*$K$167,2)</f>
        <v>0</v>
      </c>
      <c r="O167" s="202"/>
      <c r="P167" s="202"/>
      <c r="Q167" s="202"/>
      <c r="R167" s="24"/>
      <c r="T167" s="138"/>
      <c r="U167" s="30" t="s">
        <v>37</v>
      </c>
      <c r="V167" s="139">
        <v>1.5229999999999999</v>
      </c>
      <c r="W167" s="139">
        <f>$V$167*$K$167</f>
        <v>7.6149999999999994E-3</v>
      </c>
      <c r="X167" s="139">
        <v>0</v>
      </c>
      <c r="Y167" s="139">
        <f>$X$167*$K$167</f>
        <v>0</v>
      </c>
      <c r="Z167" s="139">
        <v>0</v>
      </c>
      <c r="AA167" s="140">
        <f>$Z$167*$K$167</f>
        <v>0</v>
      </c>
      <c r="AR167" s="6" t="s">
        <v>161</v>
      </c>
      <c r="AT167" s="6" t="s">
        <v>157</v>
      </c>
      <c r="AU167" s="6" t="s">
        <v>102</v>
      </c>
      <c r="AY167" s="6" t="s">
        <v>156</v>
      </c>
      <c r="BE167" s="88">
        <f>IF($U$167="základní",$N$167,0)</f>
        <v>0</v>
      </c>
      <c r="BF167" s="88">
        <f>IF($U$167="snížená",$N$167,0)</f>
        <v>0</v>
      </c>
      <c r="BG167" s="88">
        <f>IF($U$167="zákl. přenesená",$N$167,0)</f>
        <v>0</v>
      </c>
      <c r="BH167" s="88">
        <f>IF($U$167="sníž. přenesená",$N$167,0)</f>
        <v>0</v>
      </c>
      <c r="BI167" s="88">
        <f>IF($U$167="nulová",$N$167,0)</f>
        <v>0</v>
      </c>
      <c r="BJ167" s="6" t="s">
        <v>17</v>
      </c>
      <c r="BK167" s="88">
        <f>ROUND($L$167*$K$167,2)</f>
        <v>0</v>
      </c>
      <c r="BL167" s="6" t="s">
        <v>161</v>
      </c>
    </row>
    <row r="168" spans="2:64" s="123" customFormat="1" ht="30.75" customHeight="1" x14ac:dyDescent="0.3">
      <c r="B168" s="124"/>
      <c r="C168" s="125"/>
      <c r="D168" s="133" t="s">
        <v>120</v>
      </c>
      <c r="E168" s="125"/>
      <c r="F168" s="125"/>
      <c r="G168" s="125"/>
      <c r="H168" s="125"/>
      <c r="I168" s="125"/>
      <c r="J168" s="125"/>
      <c r="K168" s="125"/>
      <c r="L168" s="125"/>
      <c r="M168" s="125"/>
      <c r="N168" s="195">
        <f>$BK$168</f>
        <v>0</v>
      </c>
      <c r="O168" s="196"/>
      <c r="P168" s="196"/>
      <c r="Q168" s="196"/>
      <c r="R168" s="127"/>
      <c r="T168" s="128"/>
      <c r="U168" s="125"/>
      <c r="V168" s="125"/>
      <c r="W168" s="129">
        <f>SUM($W$169:$W$175)</f>
        <v>15.112349999999999</v>
      </c>
      <c r="X168" s="125"/>
      <c r="Y168" s="129">
        <f>SUM($Y$169:$Y$175)</f>
        <v>2.496E-2</v>
      </c>
      <c r="Z168" s="125"/>
      <c r="AA168" s="130">
        <f>SUM($AA$169:$AA$175)</f>
        <v>0</v>
      </c>
      <c r="AR168" s="131" t="s">
        <v>102</v>
      </c>
      <c r="AT168" s="131" t="s">
        <v>71</v>
      </c>
      <c r="AU168" s="131" t="s">
        <v>17</v>
      </c>
      <c r="AY168" s="131" t="s">
        <v>156</v>
      </c>
      <c r="BK168" s="132">
        <f>SUM($BK$169:$BK$175)</f>
        <v>0</v>
      </c>
    </row>
    <row r="169" spans="2:64" s="6" customFormat="1" ht="27" customHeight="1" x14ac:dyDescent="0.3">
      <c r="B169" s="22"/>
      <c r="C169" s="134" t="s">
        <v>230</v>
      </c>
      <c r="D169" s="134" t="s">
        <v>157</v>
      </c>
      <c r="E169" s="135" t="s">
        <v>231</v>
      </c>
      <c r="F169" s="205" t="s">
        <v>232</v>
      </c>
      <c r="G169" s="202"/>
      <c r="H169" s="202"/>
      <c r="I169" s="202"/>
      <c r="J169" s="136" t="s">
        <v>195</v>
      </c>
      <c r="K169" s="137">
        <v>6</v>
      </c>
      <c r="L169" s="201">
        <v>0</v>
      </c>
      <c r="M169" s="202"/>
      <c r="N169" s="203">
        <f>ROUND($L$169*$K$169,2)</f>
        <v>0</v>
      </c>
      <c r="O169" s="202"/>
      <c r="P169" s="202"/>
      <c r="Q169" s="202"/>
      <c r="R169" s="24"/>
      <c r="T169" s="138"/>
      <c r="U169" s="30" t="s">
        <v>37</v>
      </c>
      <c r="V169" s="139">
        <v>0.52900000000000003</v>
      </c>
      <c r="W169" s="139">
        <f>$V$169*$K$169</f>
        <v>3.1740000000000004</v>
      </c>
      <c r="X169" s="139">
        <v>6.6E-4</v>
      </c>
      <c r="Y169" s="139">
        <f>$X$169*$K$169</f>
        <v>3.96E-3</v>
      </c>
      <c r="Z169" s="139">
        <v>0</v>
      </c>
      <c r="AA169" s="140">
        <f>$Z$169*$K$169</f>
        <v>0</v>
      </c>
      <c r="AR169" s="6" t="s">
        <v>161</v>
      </c>
      <c r="AT169" s="6" t="s">
        <v>157</v>
      </c>
      <c r="AU169" s="6" t="s">
        <v>102</v>
      </c>
      <c r="AY169" s="6" t="s">
        <v>156</v>
      </c>
      <c r="BE169" s="88">
        <f>IF($U$169="základní",$N$169,0)</f>
        <v>0</v>
      </c>
      <c r="BF169" s="88">
        <f>IF($U$169="snížená",$N$169,0)</f>
        <v>0</v>
      </c>
      <c r="BG169" s="88">
        <f>IF($U$169="zákl. přenesená",$N$169,0)</f>
        <v>0</v>
      </c>
      <c r="BH169" s="88">
        <f>IF($U$169="sníž. přenesená",$N$169,0)</f>
        <v>0</v>
      </c>
      <c r="BI169" s="88">
        <f>IF($U$169="nulová",$N$169,0)</f>
        <v>0</v>
      </c>
      <c r="BJ169" s="6" t="s">
        <v>17</v>
      </c>
      <c r="BK169" s="88">
        <f>ROUND($L$169*$K$169,2)</f>
        <v>0</v>
      </c>
      <c r="BL169" s="6" t="s">
        <v>161</v>
      </c>
    </row>
    <row r="170" spans="2:64" s="6" customFormat="1" ht="27" customHeight="1" x14ac:dyDescent="0.3">
      <c r="B170" s="22"/>
      <c r="C170" s="134" t="s">
        <v>233</v>
      </c>
      <c r="D170" s="134" t="s">
        <v>157</v>
      </c>
      <c r="E170" s="135" t="s">
        <v>234</v>
      </c>
      <c r="F170" s="205" t="s">
        <v>235</v>
      </c>
      <c r="G170" s="202"/>
      <c r="H170" s="202"/>
      <c r="I170" s="202"/>
      <c r="J170" s="136" t="s">
        <v>195</v>
      </c>
      <c r="K170" s="137">
        <v>9</v>
      </c>
      <c r="L170" s="201">
        <v>0</v>
      </c>
      <c r="M170" s="202"/>
      <c r="N170" s="203">
        <f>ROUND($L$170*$K$170,2)</f>
        <v>0</v>
      </c>
      <c r="O170" s="202"/>
      <c r="P170" s="202"/>
      <c r="Q170" s="202"/>
      <c r="R170" s="24"/>
      <c r="T170" s="138"/>
      <c r="U170" s="30" t="s">
        <v>37</v>
      </c>
      <c r="V170" s="139">
        <v>0.69599999999999995</v>
      </c>
      <c r="W170" s="139">
        <f>$V$170*$K$170</f>
        <v>6.2639999999999993</v>
      </c>
      <c r="X170" s="139">
        <v>1.1900000000000001E-3</v>
      </c>
      <c r="Y170" s="139">
        <f>$X$170*$K$170</f>
        <v>1.0710000000000001E-2</v>
      </c>
      <c r="Z170" s="139">
        <v>0</v>
      </c>
      <c r="AA170" s="140">
        <f>$Z$170*$K$170</f>
        <v>0</v>
      </c>
      <c r="AR170" s="6" t="s">
        <v>161</v>
      </c>
      <c r="AT170" s="6" t="s">
        <v>157</v>
      </c>
      <c r="AU170" s="6" t="s">
        <v>102</v>
      </c>
      <c r="AY170" s="6" t="s">
        <v>156</v>
      </c>
      <c r="BE170" s="88">
        <f>IF($U$170="základní",$N$170,0)</f>
        <v>0</v>
      </c>
      <c r="BF170" s="88">
        <f>IF($U$170="snížená",$N$170,0)</f>
        <v>0</v>
      </c>
      <c r="BG170" s="88">
        <f>IF($U$170="zákl. přenesená",$N$170,0)</f>
        <v>0</v>
      </c>
      <c r="BH170" s="88">
        <f>IF($U$170="sníž. přenesená",$N$170,0)</f>
        <v>0</v>
      </c>
      <c r="BI170" s="88">
        <f>IF($U$170="nulová",$N$170,0)</f>
        <v>0</v>
      </c>
      <c r="BJ170" s="6" t="s">
        <v>17</v>
      </c>
      <c r="BK170" s="88">
        <f>ROUND($L$170*$K$170,2)</f>
        <v>0</v>
      </c>
      <c r="BL170" s="6" t="s">
        <v>161</v>
      </c>
    </row>
    <row r="171" spans="2:64" s="6" customFormat="1" ht="39" customHeight="1" x14ac:dyDescent="0.3">
      <c r="B171" s="22"/>
      <c r="C171" s="134" t="s">
        <v>236</v>
      </c>
      <c r="D171" s="134" t="s">
        <v>157</v>
      </c>
      <c r="E171" s="135" t="s">
        <v>237</v>
      </c>
      <c r="F171" s="205" t="s">
        <v>238</v>
      </c>
      <c r="G171" s="202"/>
      <c r="H171" s="202"/>
      <c r="I171" s="202"/>
      <c r="J171" s="136" t="s">
        <v>195</v>
      </c>
      <c r="K171" s="137">
        <v>9</v>
      </c>
      <c r="L171" s="201">
        <v>0</v>
      </c>
      <c r="M171" s="202"/>
      <c r="N171" s="203">
        <f>ROUND($L$171*$K$171,2)</f>
        <v>0</v>
      </c>
      <c r="O171" s="202"/>
      <c r="P171" s="202"/>
      <c r="Q171" s="202"/>
      <c r="R171" s="24"/>
      <c r="T171" s="138"/>
      <c r="U171" s="30" t="s">
        <v>37</v>
      </c>
      <c r="V171" s="139">
        <v>0.10299999999999999</v>
      </c>
      <c r="W171" s="139">
        <f>$V$171*$K$171</f>
        <v>0.92699999999999994</v>
      </c>
      <c r="X171" s="139">
        <v>5.0000000000000002E-5</v>
      </c>
      <c r="Y171" s="139">
        <f>$X$171*$K$171</f>
        <v>4.5000000000000004E-4</v>
      </c>
      <c r="Z171" s="139">
        <v>0</v>
      </c>
      <c r="AA171" s="140">
        <f>$Z$171*$K$171</f>
        <v>0</v>
      </c>
      <c r="AR171" s="6" t="s">
        <v>161</v>
      </c>
      <c r="AT171" s="6" t="s">
        <v>157</v>
      </c>
      <c r="AU171" s="6" t="s">
        <v>102</v>
      </c>
      <c r="AY171" s="6" t="s">
        <v>156</v>
      </c>
      <c r="BE171" s="88">
        <f>IF($U$171="základní",$N$171,0)</f>
        <v>0</v>
      </c>
      <c r="BF171" s="88">
        <f>IF($U$171="snížená",$N$171,0)</f>
        <v>0</v>
      </c>
      <c r="BG171" s="88">
        <f>IF($U$171="zákl. přenesená",$N$171,0)</f>
        <v>0</v>
      </c>
      <c r="BH171" s="88">
        <f>IF($U$171="sníž. přenesená",$N$171,0)</f>
        <v>0</v>
      </c>
      <c r="BI171" s="88">
        <f>IF($U$171="nulová",$N$171,0)</f>
        <v>0</v>
      </c>
      <c r="BJ171" s="6" t="s">
        <v>17</v>
      </c>
      <c r="BK171" s="88">
        <f>ROUND($L$171*$K$171,2)</f>
        <v>0</v>
      </c>
      <c r="BL171" s="6" t="s">
        <v>161</v>
      </c>
    </row>
    <row r="172" spans="2:64" s="6" customFormat="1" ht="15.75" customHeight="1" x14ac:dyDescent="0.3">
      <c r="B172" s="22"/>
      <c r="C172" s="134" t="s">
        <v>239</v>
      </c>
      <c r="D172" s="134" t="s">
        <v>157</v>
      </c>
      <c r="E172" s="135" t="s">
        <v>240</v>
      </c>
      <c r="F172" s="205" t="s">
        <v>241</v>
      </c>
      <c r="G172" s="202"/>
      <c r="H172" s="202"/>
      <c r="I172" s="202"/>
      <c r="J172" s="136" t="s">
        <v>176</v>
      </c>
      <c r="K172" s="137">
        <v>3</v>
      </c>
      <c r="L172" s="201">
        <v>0</v>
      </c>
      <c r="M172" s="202"/>
      <c r="N172" s="203">
        <f>ROUND($L$172*$K$172,2)</f>
        <v>0</v>
      </c>
      <c r="O172" s="202"/>
      <c r="P172" s="202"/>
      <c r="Q172" s="202"/>
      <c r="R172" s="24"/>
      <c r="T172" s="138"/>
      <c r="U172" s="30" t="s">
        <v>37</v>
      </c>
      <c r="V172" s="139">
        <v>0.26600000000000001</v>
      </c>
      <c r="W172" s="139">
        <f>$V$172*$K$172</f>
        <v>0.79800000000000004</v>
      </c>
      <c r="X172" s="139">
        <v>1.23E-3</v>
      </c>
      <c r="Y172" s="139">
        <f>$X$172*$K$172</f>
        <v>3.6899999999999997E-3</v>
      </c>
      <c r="Z172" s="139">
        <v>0</v>
      </c>
      <c r="AA172" s="140">
        <f>$Z$172*$K$172</f>
        <v>0</v>
      </c>
      <c r="AR172" s="6" t="s">
        <v>161</v>
      </c>
      <c r="AT172" s="6" t="s">
        <v>157</v>
      </c>
      <c r="AU172" s="6" t="s">
        <v>102</v>
      </c>
      <c r="AY172" s="6" t="s">
        <v>156</v>
      </c>
      <c r="BE172" s="88">
        <f>IF($U$172="základní",$N$172,0)</f>
        <v>0</v>
      </c>
      <c r="BF172" s="88">
        <f>IF($U$172="snížená",$N$172,0)</f>
        <v>0</v>
      </c>
      <c r="BG172" s="88">
        <f>IF($U$172="zákl. přenesená",$N$172,0)</f>
        <v>0</v>
      </c>
      <c r="BH172" s="88">
        <f>IF($U$172="sníž. přenesená",$N$172,0)</f>
        <v>0</v>
      </c>
      <c r="BI172" s="88">
        <f>IF($U$172="nulová",$N$172,0)</f>
        <v>0</v>
      </c>
      <c r="BJ172" s="6" t="s">
        <v>17</v>
      </c>
      <c r="BK172" s="88">
        <f>ROUND($L$172*$K$172,2)</f>
        <v>0</v>
      </c>
      <c r="BL172" s="6" t="s">
        <v>161</v>
      </c>
    </row>
    <row r="173" spans="2:64" s="6" customFormat="1" ht="27" customHeight="1" x14ac:dyDescent="0.3">
      <c r="B173" s="22"/>
      <c r="C173" s="134" t="s">
        <v>242</v>
      </c>
      <c r="D173" s="134" t="s">
        <v>157</v>
      </c>
      <c r="E173" s="135" t="s">
        <v>243</v>
      </c>
      <c r="F173" s="205" t="s">
        <v>244</v>
      </c>
      <c r="G173" s="202"/>
      <c r="H173" s="202"/>
      <c r="I173" s="202"/>
      <c r="J173" s="136" t="s">
        <v>195</v>
      </c>
      <c r="K173" s="137">
        <v>15</v>
      </c>
      <c r="L173" s="201">
        <v>0</v>
      </c>
      <c r="M173" s="202"/>
      <c r="N173" s="203">
        <f>ROUND($L$173*$K$173,2)</f>
        <v>0</v>
      </c>
      <c r="O173" s="202"/>
      <c r="P173" s="202"/>
      <c r="Q173" s="202"/>
      <c r="R173" s="24"/>
      <c r="T173" s="138"/>
      <c r="U173" s="30" t="s">
        <v>37</v>
      </c>
      <c r="V173" s="139">
        <v>0.17899999999999999</v>
      </c>
      <c r="W173" s="139">
        <f>$V$173*$K$173</f>
        <v>2.6850000000000001</v>
      </c>
      <c r="X173" s="139">
        <v>4.0000000000000002E-4</v>
      </c>
      <c r="Y173" s="139">
        <f>$X$173*$K$173</f>
        <v>6.0000000000000001E-3</v>
      </c>
      <c r="Z173" s="139">
        <v>0</v>
      </c>
      <c r="AA173" s="140">
        <f>$Z$173*$K$173</f>
        <v>0</v>
      </c>
      <c r="AR173" s="6" t="s">
        <v>161</v>
      </c>
      <c r="AT173" s="6" t="s">
        <v>157</v>
      </c>
      <c r="AU173" s="6" t="s">
        <v>102</v>
      </c>
      <c r="AY173" s="6" t="s">
        <v>156</v>
      </c>
      <c r="BE173" s="88">
        <f>IF($U$173="základní",$N$173,0)</f>
        <v>0</v>
      </c>
      <c r="BF173" s="88">
        <f>IF($U$173="snížená",$N$173,0)</f>
        <v>0</v>
      </c>
      <c r="BG173" s="88">
        <f>IF($U$173="zákl. přenesená",$N$173,0)</f>
        <v>0</v>
      </c>
      <c r="BH173" s="88">
        <f>IF($U$173="sníž. přenesená",$N$173,0)</f>
        <v>0</v>
      </c>
      <c r="BI173" s="88">
        <f>IF($U$173="nulová",$N$173,0)</f>
        <v>0</v>
      </c>
      <c r="BJ173" s="6" t="s">
        <v>17</v>
      </c>
      <c r="BK173" s="88">
        <f>ROUND($L$173*$K$173,2)</f>
        <v>0</v>
      </c>
      <c r="BL173" s="6" t="s">
        <v>161</v>
      </c>
    </row>
    <row r="174" spans="2:64" s="6" customFormat="1" ht="27" customHeight="1" x14ac:dyDescent="0.3">
      <c r="B174" s="22"/>
      <c r="C174" s="134" t="s">
        <v>245</v>
      </c>
      <c r="D174" s="134" t="s">
        <v>157</v>
      </c>
      <c r="E174" s="135" t="s">
        <v>246</v>
      </c>
      <c r="F174" s="205" t="s">
        <v>247</v>
      </c>
      <c r="G174" s="202"/>
      <c r="H174" s="202"/>
      <c r="I174" s="202"/>
      <c r="J174" s="136" t="s">
        <v>195</v>
      </c>
      <c r="K174" s="137">
        <v>15</v>
      </c>
      <c r="L174" s="201">
        <v>0</v>
      </c>
      <c r="M174" s="202"/>
      <c r="N174" s="203">
        <f>ROUND($L$174*$K$174,2)</f>
        <v>0</v>
      </c>
      <c r="O174" s="202"/>
      <c r="P174" s="202"/>
      <c r="Q174" s="202"/>
      <c r="R174" s="24"/>
      <c r="T174" s="138"/>
      <c r="U174" s="30" t="s">
        <v>37</v>
      </c>
      <c r="V174" s="139">
        <v>8.2000000000000003E-2</v>
      </c>
      <c r="W174" s="139">
        <f>$V$174*$K$174</f>
        <v>1.23</v>
      </c>
      <c r="X174" s="139">
        <v>1.0000000000000001E-5</v>
      </c>
      <c r="Y174" s="139">
        <f>$X$174*$K$174</f>
        <v>1.5000000000000001E-4</v>
      </c>
      <c r="Z174" s="139">
        <v>0</v>
      </c>
      <c r="AA174" s="140">
        <f>$Z$174*$K$174</f>
        <v>0</v>
      </c>
      <c r="AR174" s="6" t="s">
        <v>161</v>
      </c>
      <c r="AT174" s="6" t="s">
        <v>157</v>
      </c>
      <c r="AU174" s="6" t="s">
        <v>102</v>
      </c>
      <c r="AY174" s="6" t="s">
        <v>156</v>
      </c>
      <c r="BE174" s="88">
        <f>IF($U$174="základní",$N$174,0)</f>
        <v>0</v>
      </c>
      <c r="BF174" s="88">
        <f>IF($U$174="snížená",$N$174,0)</f>
        <v>0</v>
      </c>
      <c r="BG174" s="88">
        <f>IF($U$174="zákl. přenesená",$N$174,0)</f>
        <v>0</v>
      </c>
      <c r="BH174" s="88">
        <f>IF($U$174="sníž. přenesená",$N$174,0)</f>
        <v>0</v>
      </c>
      <c r="BI174" s="88">
        <f>IF($U$174="nulová",$N$174,0)</f>
        <v>0</v>
      </c>
      <c r="BJ174" s="6" t="s">
        <v>17</v>
      </c>
      <c r="BK174" s="88">
        <f>ROUND($L$174*$K$174,2)</f>
        <v>0</v>
      </c>
      <c r="BL174" s="6" t="s">
        <v>161</v>
      </c>
    </row>
    <row r="175" spans="2:64" s="6" customFormat="1" ht="27" customHeight="1" x14ac:dyDescent="0.3">
      <c r="B175" s="22"/>
      <c r="C175" s="134" t="s">
        <v>248</v>
      </c>
      <c r="D175" s="134" t="s">
        <v>157</v>
      </c>
      <c r="E175" s="135" t="s">
        <v>249</v>
      </c>
      <c r="F175" s="205" t="s">
        <v>250</v>
      </c>
      <c r="G175" s="202"/>
      <c r="H175" s="202"/>
      <c r="I175" s="202"/>
      <c r="J175" s="136" t="s">
        <v>204</v>
      </c>
      <c r="K175" s="137">
        <v>2.5000000000000001E-2</v>
      </c>
      <c r="L175" s="201">
        <v>0</v>
      </c>
      <c r="M175" s="202"/>
      <c r="N175" s="203">
        <f>ROUND($L$175*$K$175,2)</f>
        <v>0</v>
      </c>
      <c r="O175" s="202"/>
      <c r="P175" s="202"/>
      <c r="Q175" s="202"/>
      <c r="R175" s="24"/>
      <c r="T175" s="138"/>
      <c r="U175" s="30" t="s">
        <v>37</v>
      </c>
      <c r="V175" s="139">
        <v>1.3740000000000001</v>
      </c>
      <c r="W175" s="139">
        <f>$V$175*$K$175</f>
        <v>3.4350000000000006E-2</v>
      </c>
      <c r="X175" s="139">
        <v>0</v>
      </c>
      <c r="Y175" s="139">
        <f>$X$175*$K$175</f>
        <v>0</v>
      </c>
      <c r="Z175" s="139">
        <v>0</v>
      </c>
      <c r="AA175" s="140">
        <f>$Z$175*$K$175</f>
        <v>0</v>
      </c>
      <c r="AR175" s="6" t="s">
        <v>161</v>
      </c>
      <c r="AT175" s="6" t="s">
        <v>157</v>
      </c>
      <c r="AU175" s="6" t="s">
        <v>102</v>
      </c>
      <c r="AY175" s="6" t="s">
        <v>156</v>
      </c>
      <c r="BE175" s="88">
        <f>IF($U$175="základní",$N$175,0)</f>
        <v>0</v>
      </c>
      <c r="BF175" s="88">
        <f>IF($U$175="snížená",$N$175,0)</f>
        <v>0</v>
      </c>
      <c r="BG175" s="88">
        <f>IF($U$175="zákl. přenesená",$N$175,0)</f>
        <v>0</v>
      </c>
      <c r="BH175" s="88">
        <f>IF($U$175="sníž. přenesená",$N$175,0)</f>
        <v>0</v>
      </c>
      <c r="BI175" s="88">
        <f>IF($U$175="nulová",$N$175,0)</f>
        <v>0</v>
      </c>
      <c r="BJ175" s="6" t="s">
        <v>17</v>
      </c>
      <c r="BK175" s="88">
        <f>ROUND($L$175*$K$175,2)</f>
        <v>0</v>
      </c>
      <c r="BL175" s="6" t="s">
        <v>161</v>
      </c>
    </row>
    <row r="176" spans="2:64" s="123" customFormat="1" ht="30.75" customHeight="1" x14ac:dyDescent="0.3">
      <c r="B176" s="124"/>
      <c r="C176" s="125"/>
      <c r="D176" s="133" t="s">
        <v>121</v>
      </c>
      <c r="E176" s="125"/>
      <c r="F176" s="125"/>
      <c r="G176" s="125"/>
      <c r="H176" s="125"/>
      <c r="I176" s="125"/>
      <c r="J176" s="125"/>
      <c r="K176" s="125"/>
      <c r="L176" s="125"/>
      <c r="M176" s="125"/>
      <c r="N176" s="195">
        <f>$BK$176</f>
        <v>0</v>
      </c>
      <c r="O176" s="196"/>
      <c r="P176" s="196"/>
      <c r="Q176" s="196"/>
      <c r="R176" s="127"/>
      <c r="T176" s="128"/>
      <c r="U176" s="125"/>
      <c r="V176" s="125"/>
      <c r="W176" s="129">
        <f>SUM($W$177:$W$191)</f>
        <v>7.9786720000000013</v>
      </c>
      <c r="X176" s="125"/>
      <c r="Y176" s="129">
        <f>SUM($Y$177:$Y$191)</f>
        <v>6.4000000000000001E-2</v>
      </c>
      <c r="Z176" s="125"/>
      <c r="AA176" s="130">
        <f>SUM($AA$177:$AA$191)</f>
        <v>5.8120000000000005E-2</v>
      </c>
      <c r="AR176" s="131" t="s">
        <v>102</v>
      </c>
      <c r="AT176" s="131" t="s">
        <v>71</v>
      </c>
      <c r="AU176" s="131" t="s">
        <v>17</v>
      </c>
      <c r="AY176" s="131" t="s">
        <v>156</v>
      </c>
      <c r="BK176" s="132">
        <f>SUM($BK$177:$BK$191)</f>
        <v>0</v>
      </c>
    </row>
    <row r="177" spans="2:64" s="6" customFormat="1" ht="15.75" customHeight="1" x14ac:dyDescent="0.3">
      <c r="B177" s="22"/>
      <c r="C177" s="134" t="s">
        <v>251</v>
      </c>
      <c r="D177" s="134" t="s">
        <v>157</v>
      </c>
      <c r="E177" s="135" t="s">
        <v>252</v>
      </c>
      <c r="F177" s="205" t="s">
        <v>253</v>
      </c>
      <c r="G177" s="202"/>
      <c r="H177" s="202"/>
      <c r="I177" s="202"/>
      <c r="J177" s="136" t="s">
        <v>254</v>
      </c>
      <c r="K177" s="137">
        <v>2</v>
      </c>
      <c r="L177" s="201">
        <v>0</v>
      </c>
      <c r="M177" s="202"/>
      <c r="N177" s="203">
        <f>ROUND($L$177*$K$177,2)</f>
        <v>0</v>
      </c>
      <c r="O177" s="202"/>
      <c r="P177" s="202"/>
      <c r="Q177" s="202"/>
      <c r="R177" s="24"/>
      <c r="T177" s="138"/>
      <c r="U177" s="30" t="s">
        <v>37</v>
      </c>
      <c r="V177" s="139">
        <v>0.54800000000000004</v>
      </c>
      <c r="W177" s="139">
        <f>$V$177*$K$177</f>
        <v>1.0960000000000001</v>
      </c>
      <c r="X177" s="139">
        <v>0</v>
      </c>
      <c r="Y177" s="139">
        <f>$X$177*$K$177</f>
        <v>0</v>
      </c>
      <c r="Z177" s="139">
        <v>1.933E-2</v>
      </c>
      <c r="AA177" s="140">
        <f>$Z$177*$K$177</f>
        <v>3.866E-2</v>
      </c>
      <c r="AR177" s="6" t="s">
        <v>161</v>
      </c>
      <c r="AT177" s="6" t="s">
        <v>157</v>
      </c>
      <c r="AU177" s="6" t="s">
        <v>102</v>
      </c>
      <c r="AY177" s="6" t="s">
        <v>156</v>
      </c>
      <c r="BE177" s="88">
        <f>IF($U$177="základní",$N$177,0)</f>
        <v>0</v>
      </c>
      <c r="BF177" s="88">
        <f>IF($U$177="snížená",$N$177,0)</f>
        <v>0</v>
      </c>
      <c r="BG177" s="88">
        <f>IF($U$177="zákl. přenesená",$N$177,0)</f>
        <v>0</v>
      </c>
      <c r="BH177" s="88">
        <f>IF($U$177="sníž. přenesená",$N$177,0)</f>
        <v>0</v>
      </c>
      <c r="BI177" s="88">
        <f>IF($U$177="nulová",$N$177,0)</f>
        <v>0</v>
      </c>
      <c r="BJ177" s="6" t="s">
        <v>17</v>
      </c>
      <c r="BK177" s="88">
        <f>ROUND($L$177*$K$177,2)</f>
        <v>0</v>
      </c>
      <c r="BL177" s="6" t="s">
        <v>161</v>
      </c>
    </row>
    <row r="178" spans="2:64" s="6" customFormat="1" ht="39" customHeight="1" x14ac:dyDescent="0.3">
      <c r="B178" s="22"/>
      <c r="C178" s="134" t="s">
        <v>255</v>
      </c>
      <c r="D178" s="134" t="s">
        <v>157</v>
      </c>
      <c r="E178" s="135" t="s">
        <v>389</v>
      </c>
      <c r="F178" s="205" t="s">
        <v>390</v>
      </c>
      <c r="G178" s="202"/>
      <c r="H178" s="202"/>
      <c r="I178" s="202"/>
      <c r="J178" s="136" t="s">
        <v>254</v>
      </c>
      <c r="K178" s="137">
        <v>1</v>
      </c>
      <c r="L178" s="201">
        <v>0</v>
      </c>
      <c r="M178" s="202"/>
      <c r="N178" s="203">
        <f>ROUND($L$178*$K$178,2)</f>
        <v>0</v>
      </c>
      <c r="O178" s="202"/>
      <c r="P178" s="202"/>
      <c r="Q178" s="202"/>
      <c r="R178" s="24"/>
      <c r="T178" s="138"/>
      <c r="U178" s="30" t="s">
        <v>37</v>
      </c>
      <c r="V178" s="139">
        <v>0.95</v>
      </c>
      <c r="W178" s="139">
        <f>$V$178*$K$178</f>
        <v>0.95</v>
      </c>
      <c r="X178" s="139">
        <v>1.4789999999999999E-2</v>
      </c>
      <c r="Y178" s="139">
        <f>$X$178*$K$178</f>
        <v>1.4789999999999999E-2</v>
      </c>
      <c r="Z178" s="139">
        <v>0</v>
      </c>
      <c r="AA178" s="140">
        <f>$Z$178*$K$178</f>
        <v>0</v>
      </c>
      <c r="AR178" s="6" t="s">
        <v>161</v>
      </c>
      <c r="AT178" s="6" t="s">
        <v>157</v>
      </c>
      <c r="AU178" s="6" t="s">
        <v>102</v>
      </c>
      <c r="AY178" s="6" t="s">
        <v>156</v>
      </c>
      <c r="BE178" s="88">
        <f>IF($U$178="základní",$N$178,0)</f>
        <v>0</v>
      </c>
      <c r="BF178" s="88">
        <f>IF($U$178="snížená",$N$178,0)</f>
        <v>0</v>
      </c>
      <c r="BG178" s="88">
        <f>IF($U$178="zákl. přenesená",$N$178,0)</f>
        <v>0</v>
      </c>
      <c r="BH178" s="88">
        <f>IF($U$178="sníž. přenesená",$N$178,0)</f>
        <v>0</v>
      </c>
      <c r="BI178" s="88">
        <f>IF($U$178="nulová",$N$178,0)</f>
        <v>0</v>
      </c>
      <c r="BJ178" s="6" t="s">
        <v>17</v>
      </c>
      <c r="BK178" s="88">
        <f>ROUND($L$178*$K$178,2)</f>
        <v>0</v>
      </c>
      <c r="BL178" s="6" t="s">
        <v>161</v>
      </c>
    </row>
    <row r="179" spans="2:64" s="6" customFormat="1" ht="27" customHeight="1" x14ac:dyDescent="0.3">
      <c r="B179" s="22"/>
      <c r="C179" s="134" t="s">
        <v>258</v>
      </c>
      <c r="D179" s="134" t="s">
        <v>157</v>
      </c>
      <c r="E179" s="135" t="s">
        <v>391</v>
      </c>
      <c r="F179" s="205" t="s">
        <v>392</v>
      </c>
      <c r="G179" s="202"/>
      <c r="H179" s="202"/>
      <c r="I179" s="202"/>
      <c r="J179" s="136" t="s">
        <v>254</v>
      </c>
      <c r="K179" s="137">
        <v>1</v>
      </c>
      <c r="L179" s="201">
        <v>0</v>
      </c>
      <c r="M179" s="202"/>
      <c r="N179" s="203">
        <f>ROUND($L$179*$K$179,2)</f>
        <v>0</v>
      </c>
      <c r="O179" s="202"/>
      <c r="P179" s="202"/>
      <c r="Q179" s="202"/>
      <c r="R179" s="24"/>
      <c r="T179" s="138"/>
      <c r="U179" s="30" t="s">
        <v>37</v>
      </c>
      <c r="V179" s="139">
        <v>1.4</v>
      </c>
      <c r="W179" s="139">
        <f>$V$179*$K$179</f>
        <v>1.4</v>
      </c>
      <c r="X179" s="139">
        <v>2.4070000000000001E-2</v>
      </c>
      <c r="Y179" s="139">
        <f>$X$179*$K$179</f>
        <v>2.4070000000000001E-2</v>
      </c>
      <c r="Z179" s="139">
        <v>0</v>
      </c>
      <c r="AA179" s="140">
        <f>$Z$179*$K$179</f>
        <v>0</v>
      </c>
      <c r="AR179" s="6" t="s">
        <v>161</v>
      </c>
      <c r="AT179" s="6" t="s">
        <v>157</v>
      </c>
      <c r="AU179" s="6" t="s">
        <v>102</v>
      </c>
      <c r="AY179" s="6" t="s">
        <v>156</v>
      </c>
      <c r="BE179" s="88">
        <f>IF($U$179="základní",$N$179,0)</f>
        <v>0</v>
      </c>
      <c r="BF179" s="88">
        <f>IF($U$179="snížená",$N$179,0)</f>
        <v>0</v>
      </c>
      <c r="BG179" s="88">
        <f>IF($U$179="zákl. přenesená",$N$179,0)</f>
        <v>0</v>
      </c>
      <c r="BH179" s="88">
        <f>IF($U$179="sníž. přenesená",$N$179,0)</f>
        <v>0</v>
      </c>
      <c r="BI179" s="88">
        <f>IF($U$179="nulová",$N$179,0)</f>
        <v>0</v>
      </c>
      <c r="BJ179" s="6" t="s">
        <v>17</v>
      </c>
      <c r="BK179" s="88">
        <f>ROUND($L$179*$K$179,2)</f>
        <v>0</v>
      </c>
      <c r="BL179" s="6" t="s">
        <v>161</v>
      </c>
    </row>
    <row r="180" spans="2:64" s="6" customFormat="1" ht="15.75" customHeight="1" x14ac:dyDescent="0.3">
      <c r="B180" s="22"/>
      <c r="C180" s="134" t="s">
        <v>261</v>
      </c>
      <c r="D180" s="134" t="s">
        <v>157</v>
      </c>
      <c r="E180" s="135" t="s">
        <v>393</v>
      </c>
      <c r="F180" s="205" t="s">
        <v>394</v>
      </c>
      <c r="G180" s="202"/>
      <c r="H180" s="202"/>
      <c r="I180" s="202"/>
      <c r="J180" s="136" t="s">
        <v>254</v>
      </c>
      <c r="K180" s="137">
        <v>1</v>
      </c>
      <c r="L180" s="201">
        <v>0</v>
      </c>
      <c r="M180" s="202"/>
      <c r="N180" s="203">
        <f>ROUND($L$180*$K$180,2)</f>
        <v>0</v>
      </c>
      <c r="O180" s="202"/>
      <c r="P180" s="202"/>
      <c r="Q180" s="202"/>
      <c r="R180" s="24"/>
      <c r="T180" s="138"/>
      <c r="U180" s="30" t="s">
        <v>37</v>
      </c>
      <c r="V180" s="139">
        <v>0.36199999999999999</v>
      </c>
      <c r="W180" s="139">
        <f>$V$180*$K$180</f>
        <v>0.36199999999999999</v>
      </c>
      <c r="X180" s="139">
        <v>0</v>
      </c>
      <c r="Y180" s="139">
        <f>$X$180*$K$180</f>
        <v>0</v>
      </c>
      <c r="Z180" s="139">
        <v>1.9460000000000002E-2</v>
      </c>
      <c r="AA180" s="140">
        <f>$Z$180*$K$180</f>
        <v>1.9460000000000002E-2</v>
      </c>
      <c r="AR180" s="6" t="s">
        <v>161</v>
      </c>
      <c r="AT180" s="6" t="s">
        <v>157</v>
      </c>
      <c r="AU180" s="6" t="s">
        <v>102</v>
      </c>
      <c r="AY180" s="6" t="s">
        <v>156</v>
      </c>
      <c r="BE180" s="88">
        <f>IF($U$180="základní",$N$180,0)</f>
        <v>0</v>
      </c>
      <c r="BF180" s="88">
        <f>IF($U$180="snížená",$N$180,0)</f>
        <v>0</v>
      </c>
      <c r="BG180" s="88">
        <f>IF($U$180="zákl. přenesená",$N$180,0)</f>
        <v>0</v>
      </c>
      <c r="BH180" s="88">
        <f>IF($U$180="sníž. přenesená",$N$180,0)</f>
        <v>0</v>
      </c>
      <c r="BI180" s="88">
        <f>IF($U$180="nulová",$N$180,0)</f>
        <v>0</v>
      </c>
      <c r="BJ180" s="6" t="s">
        <v>17</v>
      </c>
      <c r="BK180" s="88">
        <f>ROUND($L$180*$K$180,2)</f>
        <v>0</v>
      </c>
      <c r="BL180" s="6" t="s">
        <v>161</v>
      </c>
    </row>
    <row r="181" spans="2:64" s="6" customFormat="1" ht="39" customHeight="1" x14ac:dyDescent="0.3">
      <c r="B181" s="22"/>
      <c r="C181" s="134" t="s">
        <v>264</v>
      </c>
      <c r="D181" s="134" t="s">
        <v>157</v>
      </c>
      <c r="E181" s="135" t="s">
        <v>268</v>
      </c>
      <c r="F181" s="205" t="s">
        <v>395</v>
      </c>
      <c r="G181" s="202"/>
      <c r="H181" s="202"/>
      <c r="I181" s="202"/>
      <c r="J181" s="136" t="s">
        <v>254</v>
      </c>
      <c r="K181" s="137">
        <v>1</v>
      </c>
      <c r="L181" s="201">
        <v>0</v>
      </c>
      <c r="M181" s="202"/>
      <c r="N181" s="203">
        <f>ROUND($L$181*$K$181,2)</f>
        <v>0</v>
      </c>
      <c r="O181" s="202"/>
      <c r="P181" s="202"/>
      <c r="Q181" s="202"/>
      <c r="R181" s="24"/>
      <c r="T181" s="138"/>
      <c r="U181" s="30" t="s">
        <v>37</v>
      </c>
      <c r="V181" s="139">
        <v>1.1000000000000001</v>
      </c>
      <c r="W181" s="139">
        <f>$V$181*$K$181</f>
        <v>1.1000000000000001</v>
      </c>
      <c r="X181" s="139">
        <v>1.8079999999999999E-2</v>
      </c>
      <c r="Y181" s="139">
        <f>$X$181*$K$181</f>
        <v>1.8079999999999999E-2</v>
      </c>
      <c r="Z181" s="139">
        <v>0</v>
      </c>
      <c r="AA181" s="140">
        <f>$Z$181*$K$181</f>
        <v>0</v>
      </c>
      <c r="AR181" s="6" t="s">
        <v>161</v>
      </c>
      <c r="AT181" s="6" t="s">
        <v>157</v>
      </c>
      <c r="AU181" s="6" t="s">
        <v>102</v>
      </c>
      <c r="AY181" s="6" t="s">
        <v>156</v>
      </c>
      <c r="BE181" s="88">
        <f>IF($U$181="základní",$N$181,0)</f>
        <v>0</v>
      </c>
      <c r="BF181" s="88">
        <f>IF($U$181="snížená",$N$181,0)</f>
        <v>0</v>
      </c>
      <c r="BG181" s="88">
        <f>IF($U$181="zákl. přenesená",$N$181,0)</f>
        <v>0</v>
      </c>
      <c r="BH181" s="88">
        <f>IF($U$181="sníž. přenesená",$N$181,0)</f>
        <v>0</v>
      </c>
      <c r="BI181" s="88">
        <f>IF($U$181="nulová",$N$181,0)</f>
        <v>0</v>
      </c>
      <c r="BJ181" s="6" t="s">
        <v>17</v>
      </c>
      <c r="BK181" s="88">
        <f>ROUND($L$181*$K$181,2)</f>
        <v>0</v>
      </c>
      <c r="BL181" s="6" t="s">
        <v>161</v>
      </c>
    </row>
    <row r="182" spans="2:64" s="6" customFormat="1" ht="27" customHeight="1" x14ac:dyDescent="0.3">
      <c r="B182" s="22"/>
      <c r="C182" s="134" t="s">
        <v>267</v>
      </c>
      <c r="D182" s="134" t="s">
        <v>157</v>
      </c>
      <c r="E182" s="135" t="s">
        <v>274</v>
      </c>
      <c r="F182" s="205" t="s">
        <v>275</v>
      </c>
      <c r="G182" s="202"/>
      <c r="H182" s="202"/>
      <c r="I182" s="202"/>
      <c r="J182" s="136" t="s">
        <v>254</v>
      </c>
      <c r="K182" s="137">
        <v>1</v>
      </c>
      <c r="L182" s="201">
        <v>0</v>
      </c>
      <c r="M182" s="202"/>
      <c r="N182" s="203">
        <f>ROUND($L$182*$K$182,2)</f>
        <v>0</v>
      </c>
      <c r="O182" s="202"/>
      <c r="P182" s="202"/>
      <c r="Q182" s="202"/>
      <c r="R182" s="24"/>
      <c r="T182" s="138"/>
      <c r="U182" s="30" t="s">
        <v>37</v>
      </c>
      <c r="V182" s="139">
        <v>0.33</v>
      </c>
      <c r="W182" s="139">
        <f>$V$182*$K$182</f>
        <v>0.33</v>
      </c>
      <c r="X182" s="139">
        <v>5.1999999999999995E-4</v>
      </c>
      <c r="Y182" s="139">
        <f>$X$182*$K$182</f>
        <v>5.1999999999999995E-4</v>
      </c>
      <c r="Z182" s="139">
        <v>0</v>
      </c>
      <c r="AA182" s="140">
        <f>$Z$182*$K$182</f>
        <v>0</v>
      </c>
      <c r="AR182" s="6" t="s">
        <v>161</v>
      </c>
      <c r="AT182" s="6" t="s">
        <v>157</v>
      </c>
      <c r="AU182" s="6" t="s">
        <v>102</v>
      </c>
      <c r="AY182" s="6" t="s">
        <v>156</v>
      </c>
      <c r="BE182" s="88">
        <f>IF($U$182="základní",$N$182,0)</f>
        <v>0</v>
      </c>
      <c r="BF182" s="88">
        <f>IF($U$182="snížená",$N$182,0)</f>
        <v>0</v>
      </c>
      <c r="BG182" s="88">
        <f>IF($U$182="zákl. přenesená",$N$182,0)</f>
        <v>0</v>
      </c>
      <c r="BH182" s="88">
        <f>IF($U$182="sníž. přenesená",$N$182,0)</f>
        <v>0</v>
      </c>
      <c r="BI182" s="88">
        <f>IF($U$182="nulová",$N$182,0)</f>
        <v>0</v>
      </c>
      <c r="BJ182" s="6" t="s">
        <v>17</v>
      </c>
      <c r="BK182" s="88">
        <f>ROUND($L$182*$K$182,2)</f>
        <v>0</v>
      </c>
      <c r="BL182" s="6" t="s">
        <v>161</v>
      </c>
    </row>
    <row r="183" spans="2:64" s="6" customFormat="1" ht="27" customHeight="1" x14ac:dyDescent="0.3">
      <c r="B183" s="22"/>
      <c r="C183" s="134" t="s">
        <v>270</v>
      </c>
      <c r="D183" s="134" t="s">
        <v>157</v>
      </c>
      <c r="E183" s="135" t="s">
        <v>277</v>
      </c>
      <c r="F183" s="205" t="s">
        <v>278</v>
      </c>
      <c r="G183" s="202"/>
      <c r="H183" s="202"/>
      <c r="I183" s="202"/>
      <c r="J183" s="136" t="s">
        <v>254</v>
      </c>
      <c r="K183" s="137">
        <v>1</v>
      </c>
      <c r="L183" s="201">
        <v>0</v>
      </c>
      <c r="M183" s="202"/>
      <c r="N183" s="203">
        <f>ROUND($L$183*$K$183,2)</f>
        <v>0</v>
      </c>
      <c r="O183" s="202"/>
      <c r="P183" s="202"/>
      <c r="Q183" s="202"/>
      <c r="R183" s="24"/>
      <c r="T183" s="138"/>
      <c r="U183" s="30" t="s">
        <v>37</v>
      </c>
      <c r="V183" s="139">
        <v>0.33</v>
      </c>
      <c r="W183" s="139">
        <f>$V$183*$K$183</f>
        <v>0.33</v>
      </c>
      <c r="X183" s="139">
        <v>5.1999999999999995E-4</v>
      </c>
      <c r="Y183" s="139">
        <f>$X$183*$K$183</f>
        <v>5.1999999999999995E-4</v>
      </c>
      <c r="Z183" s="139">
        <v>0</v>
      </c>
      <c r="AA183" s="140">
        <f>$Z$183*$K$183</f>
        <v>0</v>
      </c>
      <c r="AR183" s="6" t="s">
        <v>161</v>
      </c>
      <c r="AT183" s="6" t="s">
        <v>157</v>
      </c>
      <c r="AU183" s="6" t="s">
        <v>102</v>
      </c>
      <c r="AY183" s="6" t="s">
        <v>156</v>
      </c>
      <c r="BE183" s="88">
        <f>IF($U$183="základní",$N$183,0)</f>
        <v>0</v>
      </c>
      <c r="BF183" s="88">
        <f>IF($U$183="snížená",$N$183,0)</f>
        <v>0</v>
      </c>
      <c r="BG183" s="88">
        <f>IF($U$183="zákl. přenesená",$N$183,0)</f>
        <v>0</v>
      </c>
      <c r="BH183" s="88">
        <f>IF($U$183="sníž. přenesená",$N$183,0)</f>
        <v>0</v>
      </c>
      <c r="BI183" s="88">
        <f>IF($U$183="nulová",$N$183,0)</f>
        <v>0</v>
      </c>
      <c r="BJ183" s="6" t="s">
        <v>17</v>
      </c>
      <c r="BK183" s="88">
        <f>ROUND($L$183*$K$183,2)</f>
        <v>0</v>
      </c>
      <c r="BL183" s="6" t="s">
        <v>161</v>
      </c>
    </row>
    <row r="184" spans="2:64" s="6" customFormat="1" ht="27" customHeight="1" x14ac:dyDescent="0.3">
      <c r="B184" s="22"/>
      <c r="C184" s="134" t="s">
        <v>273</v>
      </c>
      <c r="D184" s="134" t="s">
        <v>157</v>
      </c>
      <c r="E184" s="135" t="s">
        <v>280</v>
      </c>
      <c r="F184" s="205" t="s">
        <v>281</v>
      </c>
      <c r="G184" s="202"/>
      <c r="H184" s="202"/>
      <c r="I184" s="202"/>
      <c r="J184" s="136" t="s">
        <v>254</v>
      </c>
      <c r="K184" s="137">
        <v>1</v>
      </c>
      <c r="L184" s="201">
        <v>0</v>
      </c>
      <c r="M184" s="202"/>
      <c r="N184" s="203">
        <f>ROUND($L$184*$K$184,2)</f>
        <v>0</v>
      </c>
      <c r="O184" s="202"/>
      <c r="P184" s="202"/>
      <c r="Q184" s="202"/>
      <c r="R184" s="24"/>
      <c r="T184" s="138"/>
      <c r="U184" s="30" t="s">
        <v>37</v>
      </c>
      <c r="V184" s="139">
        <v>0.33</v>
      </c>
      <c r="W184" s="139">
        <f>$V$184*$K$184</f>
        <v>0.33</v>
      </c>
      <c r="X184" s="139">
        <v>5.1999999999999995E-4</v>
      </c>
      <c r="Y184" s="139">
        <f>$X$184*$K$184</f>
        <v>5.1999999999999995E-4</v>
      </c>
      <c r="Z184" s="139">
        <v>0</v>
      </c>
      <c r="AA184" s="140">
        <f>$Z$184*$K$184</f>
        <v>0</v>
      </c>
      <c r="AR184" s="6" t="s">
        <v>161</v>
      </c>
      <c r="AT184" s="6" t="s">
        <v>157</v>
      </c>
      <c r="AU184" s="6" t="s">
        <v>102</v>
      </c>
      <c r="AY184" s="6" t="s">
        <v>156</v>
      </c>
      <c r="BE184" s="88">
        <f>IF($U$184="základní",$N$184,0)</f>
        <v>0</v>
      </c>
      <c r="BF184" s="88">
        <f>IF($U$184="snížená",$N$184,0)</f>
        <v>0</v>
      </c>
      <c r="BG184" s="88">
        <f>IF($U$184="zákl. přenesená",$N$184,0)</f>
        <v>0</v>
      </c>
      <c r="BH184" s="88">
        <f>IF($U$184="sníž. přenesená",$N$184,0)</f>
        <v>0</v>
      </c>
      <c r="BI184" s="88">
        <f>IF($U$184="nulová",$N$184,0)</f>
        <v>0</v>
      </c>
      <c r="BJ184" s="6" t="s">
        <v>17</v>
      </c>
      <c r="BK184" s="88">
        <f>ROUND($L$184*$K$184,2)</f>
        <v>0</v>
      </c>
      <c r="BL184" s="6" t="s">
        <v>161</v>
      </c>
    </row>
    <row r="185" spans="2:64" s="6" customFormat="1" ht="15.75" customHeight="1" x14ac:dyDescent="0.3">
      <c r="B185" s="22"/>
      <c r="C185" s="134" t="s">
        <v>276</v>
      </c>
      <c r="D185" s="134" t="s">
        <v>157</v>
      </c>
      <c r="E185" s="135" t="s">
        <v>283</v>
      </c>
      <c r="F185" s="205" t="s">
        <v>284</v>
      </c>
      <c r="G185" s="202"/>
      <c r="H185" s="202"/>
      <c r="I185" s="202"/>
      <c r="J185" s="136" t="s">
        <v>254</v>
      </c>
      <c r="K185" s="137">
        <v>1</v>
      </c>
      <c r="L185" s="201">
        <v>0</v>
      </c>
      <c r="M185" s="202"/>
      <c r="N185" s="203">
        <f>ROUND($L$185*$K$185,2)</f>
        <v>0</v>
      </c>
      <c r="O185" s="202"/>
      <c r="P185" s="202"/>
      <c r="Q185" s="202"/>
      <c r="R185" s="24"/>
      <c r="T185" s="138"/>
      <c r="U185" s="30" t="s">
        <v>37</v>
      </c>
      <c r="V185" s="139">
        <v>0.25</v>
      </c>
      <c r="W185" s="139">
        <f>$V$185*$K$185</f>
        <v>0.25</v>
      </c>
      <c r="X185" s="139">
        <v>5.0000000000000001E-4</v>
      </c>
      <c r="Y185" s="139">
        <f>$X$185*$K$185</f>
        <v>5.0000000000000001E-4</v>
      </c>
      <c r="Z185" s="139">
        <v>0</v>
      </c>
      <c r="AA185" s="140">
        <f>$Z$185*$K$185</f>
        <v>0</v>
      </c>
      <c r="AR185" s="6" t="s">
        <v>161</v>
      </c>
      <c r="AT185" s="6" t="s">
        <v>157</v>
      </c>
      <c r="AU185" s="6" t="s">
        <v>102</v>
      </c>
      <c r="AY185" s="6" t="s">
        <v>156</v>
      </c>
      <c r="BE185" s="88">
        <f>IF($U$185="základní",$N$185,0)</f>
        <v>0</v>
      </c>
      <c r="BF185" s="88">
        <f>IF($U$185="snížená",$N$185,0)</f>
        <v>0</v>
      </c>
      <c r="BG185" s="88">
        <f>IF($U$185="zákl. přenesená",$N$185,0)</f>
        <v>0</v>
      </c>
      <c r="BH185" s="88">
        <f>IF($U$185="sníž. přenesená",$N$185,0)</f>
        <v>0</v>
      </c>
      <c r="BI185" s="88">
        <f>IF($U$185="nulová",$N$185,0)</f>
        <v>0</v>
      </c>
      <c r="BJ185" s="6" t="s">
        <v>17</v>
      </c>
      <c r="BK185" s="88">
        <f>ROUND($L$185*$K$185,2)</f>
        <v>0</v>
      </c>
      <c r="BL185" s="6" t="s">
        <v>161</v>
      </c>
    </row>
    <row r="186" spans="2:64" s="6" customFormat="1" ht="27" customHeight="1" x14ac:dyDescent="0.3">
      <c r="B186" s="22"/>
      <c r="C186" s="134" t="s">
        <v>279</v>
      </c>
      <c r="D186" s="134" t="s">
        <v>157</v>
      </c>
      <c r="E186" s="135" t="s">
        <v>286</v>
      </c>
      <c r="F186" s="205" t="s">
        <v>287</v>
      </c>
      <c r="G186" s="202"/>
      <c r="H186" s="202"/>
      <c r="I186" s="202"/>
      <c r="J186" s="136" t="s">
        <v>254</v>
      </c>
      <c r="K186" s="137">
        <v>1</v>
      </c>
      <c r="L186" s="201">
        <v>0</v>
      </c>
      <c r="M186" s="202"/>
      <c r="N186" s="203">
        <f>ROUND($L$186*$K$186,2)</f>
        <v>0</v>
      </c>
      <c r="O186" s="202"/>
      <c r="P186" s="202"/>
      <c r="Q186" s="202"/>
      <c r="R186" s="24"/>
      <c r="T186" s="138"/>
      <c r="U186" s="30" t="s">
        <v>37</v>
      </c>
      <c r="V186" s="139">
        <v>0.33</v>
      </c>
      <c r="W186" s="139">
        <f>$V$186*$K$186</f>
        <v>0.33</v>
      </c>
      <c r="X186" s="139">
        <v>1.0200000000000001E-3</v>
      </c>
      <c r="Y186" s="139">
        <f>$X$186*$K$186</f>
        <v>1.0200000000000001E-3</v>
      </c>
      <c r="Z186" s="139">
        <v>0</v>
      </c>
      <c r="AA186" s="140">
        <f>$Z$186*$K$186</f>
        <v>0</v>
      </c>
      <c r="AR186" s="6" t="s">
        <v>161</v>
      </c>
      <c r="AT186" s="6" t="s">
        <v>157</v>
      </c>
      <c r="AU186" s="6" t="s">
        <v>102</v>
      </c>
      <c r="AY186" s="6" t="s">
        <v>156</v>
      </c>
      <c r="BE186" s="88">
        <f>IF($U$186="základní",$N$186,0)</f>
        <v>0</v>
      </c>
      <c r="BF186" s="88">
        <f>IF($U$186="snížená",$N$186,0)</f>
        <v>0</v>
      </c>
      <c r="BG186" s="88">
        <f>IF($U$186="zákl. přenesená",$N$186,0)</f>
        <v>0</v>
      </c>
      <c r="BH186" s="88">
        <f>IF($U$186="sníž. přenesená",$N$186,0)</f>
        <v>0</v>
      </c>
      <c r="BI186" s="88">
        <f>IF($U$186="nulová",$N$186,0)</f>
        <v>0</v>
      </c>
      <c r="BJ186" s="6" t="s">
        <v>17</v>
      </c>
      <c r="BK186" s="88">
        <f>ROUND($L$186*$K$186,2)</f>
        <v>0</v>
      </c>
      <c r="BL186" s="6" t="s">
        <v>161</v>
      </c>
    </row>
    <row r="187" spans="2:64" s="6" customFormat="1" ht="15.75" customHeight="1" x14ac:dyDescent="0.3">
      <c r="B187" s="22"/>
      <c r="C187" s="134" t="s">
        <v>282</v>
      </c>
      <c r="D187" s="134" t="s">
        <v>157</v>
      </c>
      <c r="E187" s="135" t="s">
        <v>289</v>
      </c>
      <c r="F187" s="205" t="s">
        <v>290</v>
      </c>
      <c r="G187" s="202"/>
      <c r="H187" s="202"/>
      <c r="I187" s="202"/>
      <c r="J187" s="136" t="s">
        <v>254</v>
      </c>
      <c r="K187" s="137">
        <v>1</v>
      </c>
      <c r="L187" s="201">
        <v>0</v>
      </c>
      <c r="M187" s="202"/>
      <c r="N187" s="203">
        <f>ROUND($L$187*$K$187,2)</f>
        <v>0</v>
      </c>
      <c r="O187" s="202"/>
      <c r="P187" s="202"/>
      <c r="Q187" s="202"/>
      <c r="R187" s="24"/>
      <c r="T187" s="138"/>
      <c r="U187" s="30" t="s">
        <v>37</v>
      </c>
      <c r="V187" s="139">
        <v>0.25</v>
      </c>
      <c r="W187" s="139">
        <f>$V$187*$K$187</f>
        <v>0.25</v>
      </c>
      <c r="X187" s="139">
        <v>5.0000000000000001E-4</v>
      </c>
      <c r="Y187" s="139">
        <f>$X$187*$K$187</f>
        <v>5.0000000000000001E-4</v>
      </c>
      <c r="Z187" s="139">
        <v>0</v>
      </c>
      <c r="AA187" s="140">
        <f>$Z$187*$K$187</f>
        <v>0</v>
      </c>
      <c r="AR187" s="6" t="s">
        <v>161</v>
      </c>
      <c r="AT187" s="6" t="s">
        <v>157</v>
      </c>
      <c r="AU187" s="6" t="s">
        <v>102</v>
      </c>
      <c r="AY187" s="6" t="s">
        <v>156</v>
      </c>
      <c r="BE187" s="88">
        <f>IF($U$187="základní",$N$187,0)</f>
        <v>0</v>
      </c>
      <c r="BF187" s="88">
        <f>IF($U$187="snížená",$N$187,0)</f>
        <v>0</v>
      </c>
      <c r="BG187" s="88">
        <f>IF($U$187="zákl. přenesená",$N$187,0)</f>
        <v>0</v>
      </c>
      <c r="BH187" s="88">
        <f>IF($U$187="sníž. přenesená",$N$187,0)</f>
        <v>0</v>
      </c>
      <c r="BI187" s="88">
        <f>IF($U$187="nulová",$N$187,0)</f>
        <v>0</v>
      </c>
      <c r="BJ187" s="6" t="s">
        <v>17</v>
      </c>
      <c r="BK187" s="88">
        <f>ROUND($L$187*$K$187,2)</f>
        <v>0</v>
      </c>
      <c r="BL187" s="6" t="s">
        <v>161</v>
      </c>
    </row>
    <row r="188" spans="2:64" s="6" customFormat="1" ht="15.75" customHeight="1" x14ac:dyDescent="0.3">
      <c r="B188" s="22"/>
      <c r="C188" s="134" t="s">
        <v>288</v>
      </c>
      <c r="D188" s="134" t="s">
        <v>157</v>
      </c>
      <c r="E188" s="135" t="s">
        <v>295</v>
      </c>
      <c r="F188" s="205" t="s">
        <v>296</v>
      </c>
      <c r="G188" s="202"/>
      <c r="H188" s="202"/>
      <c r="I188" s="202"/>
      <c r="J188" s="136" t="s">
        <v>254</v>
      </c>
      <c r="K188" s="137">
        <v>4</v>
      </c>
      <c r="L188" s="201">
        <v>0</v>
      </c>
      <c r="M188" s="202"/>
      <c r="N188" s="203">
        <f>ROUND($L$188*$K$188,2)</f>
        <v>0</v>
      </c>
      <c r="O188" s="202"/>
      <c r="P188" s="202"/>
      <c r="Q188" s="202"/>
      <c r="R188" s="24"/>
      <c r="T188" s="138"/>
      <c r="U188" s="30" t="s">
        <v>37</v>
      </c>
      <c r="V188" s="139">
        <v>0.22700000000000001</v>
      </c>
      <c r="W188" s="139">
        <f>$V$188*$K$188</f>
        <v>0.90800000000000003</v>
      </c>
      <c r="X188" s="139">
        <v>2.9999999999999997E-4</v>
      </c>
      <c r="Y188" s="139">
        <f>$X$188*$K$188</f>
        <v>1.1999999999999999E-3</v>
      </c>
      <c r="Z188" s="139">
        <v>0</v>
      </c>
      <c r="AA188" s="140">
        <f>$Z$188*$K$188</f>
        <v>0</v>
      </c>
      <c r="AR188" s="6" t="s">
        <v>161</v>
      </c>
      <c r="AT188" s="6" t="s">
        <v>157</v>
      </c>
      <c r="AU188" s="6" t="s">
        <v>102</v>
      </c>
      <c r="AY188" s="6" t="s">
        <v>156</v>
      </c>
      <c r="BE188" s="88">
        <f>IF($U$188="základní",$N$188,0)</f>
        <v>0</v>
      </c>
      <c r="BF188" s="88">
        <f>IF($U$188="snížená",$N$188,0)</f>
        <v>0</v>
      </c>
      <c r="BG188" s="88">
        <f>IF($U$188="zákl. přenesená",$N$188,0)</f>
        <v>0</v>
      </c>
      <c r="BH188" s="88">
        <f>IF($U$188="sníž. přenesená",$N$188,0)</f>
        <v>0</v>
      </c>
      <c r="BI188" s="88">
        <f>IF($U$188="nulová",$N$188,0)</f>
        <v>0</v>
      </c>
      <c r="BJ188" s="6" t="s">
        <v>17</v>
      </c>
      <c r="BK188" s="88">
        <f>ROUND($L$188*$K$188,2)</f>
        <v>0</v>
      </c>
      <c r="BL188" s="6" t="s">
        <v>161</v>
      </c>
    </row>
    <row r="189" spans="2:64" s="6" customFormat="1" ht="27" customHeight="1" x14ac:dyDescent="0.3">
      <c r="B189" s="22"/>
      <c r="C189" s="134" t="s">
        <v>291</v>
      </c>
      <c r="D189" s="134" t="s">
        <v>157</v>
      </c>
      <c r="E189" s="135" t="s">
        <v>298</v>
      </c>
      <c r="F189" s="205" t="s">
        <v>299</v>
      </c>
      <c r="G189" s="202"/>
      <c r="H189" s="202"/>
      <c r="I189" s="202"/>
      <c r="J189" s="136" t="s">
        <v>254</v>
      </c>
      <c r="K189" s="137">
        <v>1</v>
      </c>
      <c r="L189" s="201">
        <v>0</v>
      </c>
      <c r="M189" s="202"/>
      <c r="N189" s="203">
        <f>ROUND($L$189*$K$189,2)</f>
        <v>0</v>
      </c>
      <c r="O189" s="202"/>
      <c r="P189" s="202"/>
      <c r="Q189" s="202"/>
      <c r="R189" s="24"/>
      <c r="T189" s="138"/>
      <c r="U189" s="30" t="s">
        <v>37</v>
      </c>
      <c r="V189" s="139">
        <v>0.2</v>
      </c>
      <c r="W189" s="139">
        <f>$V$189*$K$189</f>
        <v>0.2</v>
      </c>
      <c r="X189" s="139">
        <v>1.9599999999999999E-3</v>
      </c>
      <c r="Y189" s="139">
        <f>$X$189*$K$189</f>
        <v>1.9599999999999999E-3</v>
      </c>
      <c r="Z189" s="139">
        <v>0</v>
      </c>
      <c r="AA189" s="140">
        <f>$Z$189*$K$189</f>
        <v>0</v>
      </c>
      <c r="AR189" s="6" t="s">
        <v>161</v>
      </c>
      <c r="AT189" s="6" t="s">
        <v>157</v>
      </c>
      <c r="AU189" s="6" t="s">
        <v>102</v>
      </c>
      <c r="AY189" s="6" t="s">
        <v>156</v>
      </c>
      <c r="BE189" s="88">
        <f>IF($U$189="základní",$N$189,0)</f>
        <v>0</v>
      </c>
      <c r="BF189" s="88">
        <f>IF($U$189="snížená",$N$189,0)</f>
        <v>0</v>
      </c>
      <c r="BG189" s="88">
        <f>IF($U$189="zákl. přenesená",$N$189,0)</f>
        <v>0</v>
      </c>
      <c r="BH189" s="88">
        <f>IF($U$189="sníž. přenesená",$N$189,0)</f>
        <v>0</v>
      </c>
      <c r="BI189" s="88">
        <f>IF($U$189="nulová",$N$189,0)</f>
        <v>0</v>
      </c>
      <c r="BJ189" s="6" t="s">
        <v>17</v>
      </c>
      <c r="BK189" s="88">
        <f>ROUND($L$189*$K$189,2)</f>
        <v>0</v>
      </c>
      <c r="BL189" s="6" t="s">
        <v>161</v>
      </c>
    </row>
    <row r="190" spans="2:64" s="6" customFormat="1" ht="15.75" customHeight="1" x14ac:dyDescent="0.3">
      <c r="B190" s="22"/>
      <c r="C190" s="134" t="s">
        <v>294</v>
      </c>
      <c r="D190" s="134" t="s">
        <v>157</v>
      </c>
      <c r="E190" s="135" t="s">
        <v>301</v>
      </c>
      <c r="F190" s="205" t="s">
        <v>302</v>
      </c>
      <c r="G190" s="202"/>
      <c r="H190" s="202"/>
      <c r="I190" s="202"/>
      <c r="J190" s="136" t="s">
        <v>176</v>
      </c>
      <c r="K190" s="137">
        <v>2</v>
      </c>
      <c r="L190" s="201">
        <v>0</v>
      </c>
      <c r="M190" s="202"/>
      <c r="N190" s="203">
        <f>ROUND($L$190*$K$190,2)</f>
        <v>0</v>
      </c>
      <c r="O190" s="202"/>
      <c r="P190" s="202"/>
      <c r="Q190" s="202"/>
      <c r="R190" s="24"/>
      <c r="T190" s="138"/>
      <c r="U190" s="30" t="s">
        <v>37</v>
      </c>
      <c r="V190" s="139">
        <v>2.1000000000000001E-2</v>
      </c>
      <c r="W190" s="139">
        <f>$V$190*$K$190</f>
        <v>4.2000000000000003E-2</v>
      </c>
      <c r="X190" s="139">
        <v>1.6000000000000001E-4</v>
      </c>
      <c r="Y190" s="139">
        <f>$X$190*$K$190</f>
        <v>3.2000000000000003E-4</v>
      </c>
      <c r="Z190" s="139">
        <v>0</v>
      </c>
      <c r="AA190" s="140">
        <f>$Z$190*$K$190</f>
        <v>0</v>
      </c>
      <c r="AR190" s="6" t="s">
        <v>161</v>
      </c>
      <c r="AT190" s="6" t="s">
        <v>157</v>
      </c>
      <c r="AU190" s="6" t="s">
        <v>102</v>
      </c>
      <c r="AY190" s="6" t="s">
        <v>156</v>
      </c>
      <c r="BE190" s="88">
        <f>IF($U$190="základní",$N$190,0)</f>
        <v>0</v>
      </c>
      <c r="BF190" s="88">
        <f>IF($U$190="snížená",$N$190,0)</f>
        <v>0</v>
      </c>
      <c r="BG190" s="88">
        <f>IF($U$190="zákl. přenesená",$N$190,0)</f>
        <v>0</v>
      </c>
      <c r="BH190" s="88">
        <f>IF($U$190="sníž. přenesená",$N$190,0)</f>
        <v>0</v>
      </c>
      <c r="BI190" s="88">
        <f>IF($U$190="nulová",$N$190,0)</f>
        <v>0</v>
      </c>
      <c r="BJ190" s="6" t="s">
        <v>17</v>
      </c>
      <c r="BK190" s="88">
        <f>ROUND($L$190*$K$190,2)</f>
        <v>0</v>
      </c>
      <c r="BL190" s="6" t="s">
        <v>161</v>
      </c>
    </row>
    <row r="191" spans="2:64" s="6" customFormat="1" ht="27" customHeight="1" x14ac:dyDescent="0.3">
      <c r="B191" s="22"/>
      <c r="C191" s="134" t="s">
        <v>297</v>
      </c>
      <c r="D191" s="134" t="s">
        <v>157</v>
      </c>
      <c r="E191" s="135" t="s">
        <v>304</v>
      </c>
      <c r="F191" s="205" t="s">
        <v>305</v>
      </c>
      <c r="G191" s="202"/>
      <c r="H191" s="202"/>
      <c r="I191" s="202"/>
      <c r="J191" s="136" t="s">
        <v>204</v>
      </c>
      <c r="K191" s="137">
        <v>6.4000000000000001E-2</v>
      </c>
      <c r="L191" s="201">
        <v>0</v>
      </c>
      <c r="M191" s="202"/>
      <c r="N191" s="203">
        <f>ROUND($L$191*$K$191,2)</f>
        <v>0</v>
      </c>
      <c r="O191" s="202"/>
      <c r="P191" s="202"/>
      <c r="Q191" s="202"/>
      <c r="R191" s="24"/>
      <c r="T191" s="138"/>
      <c r="U191" s="30" t="s">
        <v>37</v>
      </c>
      <c r="V191" s="139">
        <v>1.573</v>
      </c>
      <c r="W191" s="139">
        <f>$V$191*$K$191</f>
        <v>0.100672</v>
      </c>
      <c r="X191" s="139">
        <v>0</v>
      </c>
      <c r="Y191" s="139">
        <f>$X$191*$K$191</f>
        <v>0</v>
      </c>
      <c r="Z191" s="139">
        <v>0</v>
      </c>
      <c r="AA191" s="140">
        <f>$Z$191*$K$191</f>
        <v>0</v>
      </c>
      <c r="AR191" s="6" t="s">
        <v>161</v>
      </c>
      <c r="AT191" s="6" t="s">
        <v>157</v>
      </c>
      <c r="AU191" s="6" t="s">
        <v>102</v>
      </c>
      <c r="AY191" s="6" t="s">
        <v>156</v>
      </c>
      <c r="BE191" s="88">
        <f>IF($U$191="základní",$N$191,0)</f>
        <v>0</v>
      </c>
      <c r="BF191" s="88">
        <f>IF($U$191="snížená",$N$191,0)</f>
        <v>0</v>
      </c>
      <c r="BG191" s="88">
        <f>IF($U$191="zákl. přenesená",$N$191,0)</f>
        <v>0</v>
      </c>
      <c r="BH191" s="88">
        <f>IF($U$191="sníž. přenesená",$N$191,0)</f>
        <v>0</v>
      </c>
      <c r="BI191" s="88">
        <f>IF($U$191="nulová",$N$191,0)</f>
        <v>0</v>
      </c>
      <c r="BJ191" s="6" t="s">
        <v>17</v>
      </c>
      <c r="BK191" s="88">
        <f>ROUND($L$191*$K$191,2)</f>
        <v>0</v>
      </c>
      <c r="BL191" s="6" t="s">
        <v>161</v>
      </c>
    </row>
    <row r="192" spans="2:64" s="123" customFormat="1" ht="30.75" customHeight="1" x14ac:dyDescent="0.3">
      <c r="B192" s="124"/>
      <c r="C192" s="125"/>
      <c r="D192" s="133" t="s">
        <v>122</v>
      </c>
      <c r="E192" s="125"/>
      <c r="F192" s="125"/>
      <c r="G192" s="125"/>
      <c r="H192" s="125"/>
      <c r="I192" s="125"/>
      <c r="J192" s="125"/>
      <c r="K192" s="125"/>
      <c r="L192" s="125"/>
      <c r="M192" s="125"/>
      <c r="N192" s="195">
        <f>$BK$192</f>
        <v>0</v>
      </c>
      <c r="O192" s="196"/>
      <c r="P192" s="196"/>
      <c r="Q192" s="196"/>
      <c r="R192" s="127"/>
      <c r="T192" s="128"/>
      <c r="U192" s="125"/>
      <c r="V192" s="125"/>
      <c r="W192" s="129">
        <f>$W$193</f>
        <v>0.61199999999999999</v>
      </c>
      <c r="X192" s="125"/>
      <c r="Y192" s="129">
        <f>$Y$193</f>
        <v>0</v>
      </c>
      <c r="Z192" s="125"/>
      <c r="AA192" s="130">
        <f>$AA$193</f>
        <v>0</v>
      </c>
      <c r="AR192" s="131" t="s">
        <v>102</v>
      </c>
      <c r="AT192" s="131" t="s">
        <v>71</v>
      </c>
      <c r="AU192" s="131" t="s">
        <v>17</v>
      </c>
      <c r="AY192" s="131" t="s">
        <v>156</v>
      </c>
      <c r="BK192" s="132">
        <f>$BK$193</f>
        <v>0</v>
      </c>
    </row>
    <row r="193" spans="2:64" s="6" customFormat="1" ht="39" customHeight="1" x14ac:dyDescent="0.3">
      <c r="B193" s="22"/>
      <c r="C193" s="134" t="s">
        <v>300</v>
      </c>
      <c r="D193" s="134" t="s">
        <v>157</v>
      </c>
      <c r="E193" s="135" t="s">
        <v>307</v>
      </c>
      <c r="F193" s="205" t="s">
        <v>308</v>
      </c>
      <c r="G193" s="202"/>
      <c r="H193" s="202"/>
      <c r="I193" s="202"/>
      <c r="J193" s="136" t="s">
        <v>176</v>
      </c>
      <c r="K193" s="137">
        <v>2</v>
      </c>
      <c r="L193" s="201">
        <v>0</v>
      </c>
      <c r="M193" s="202"/>
      <c r="N193" s="203">
        <f>ROUND($L$193*$K$193,2)</f>
        <v>0</v>
      </c>
      <c r="O193" s="202"/>
      <c r="P193" s="202"/>
      <c r="Q193" s="202"/>
      <c r="R193" s="24"/>
      <c r="T193" s="138"/>
      <c r="U193" s="30" t="s">
        <v>37</v>
      </c>
      <c r="V193" s="139">
        <v>0.30599999999999999</v>
      </c>
      <c r="W193" s="139">
        <f>$V$193*$K$193</f>
        <v>0.61199999999999999</v>
      </c>
      <c r="X193" s="139">
        <v>0</v>
      </c>
      <c r="Y193" s="139">
        <f>$X$193*$K$193</f>
        <v>0</v>
      </c>
      <c r="Z193" s="139">
        <v>0</v>
      </c>
      <c r="AA193" s="140">
        <f>$Z$193*$K$193</f>
        <v>0</v>
      </c>
      <c r="AR193" s="6" t="s">
        <v>161</v>
      </c>
      <c r="AT193" s="6" t="s">
        <v>157</v>
      </c>
      <c r="AU193" s="6" t="s">
        <v>102</v>
      </c>
      <c r="AY193" s="6" t="s">
        <v>156</v>
      </c>
      <c r="BE193" s="88">
        <f>IF($U$193="základní",$N$193,0)</f>
        <v>0</v>
      </c>
      <c r="BF193" s="88">
        <f>IF($U$193="snížená",$N$193,0)</f>
        <v>0</v>
      </c>
      <c r="BG193" s="88">
        <f>IF($U$193="zákl. přenesená",$N$193,0)</f>
        <v>0</v>
      </c>
      <c r="BH193" s="88">
        <f>IF($U$193="sníž. přenesená",$N$193,0)</f>
        <v>0</v>
      </c>
      <c r="BI193" s="88">
        <f>IF($U$193="nulová",$N$193,0)</f>
        <v>0</v>
      </c>
      <c r="BJ193" s="6" t="s">
        <v>17</v>
      </c>
      <c r="BK193" s="88">
        <f>ROUND($L$193*$K$193,2)</f>
        <v>0</v>
      </c>
      <c r="BL193" s="6" t="s">
        <v>161</v>
      </c>
    </row>
    <row r="194" spans="2:64" s="123" customFormat="1" ht="30.75" customHeight="1" x14ac:dyDescent="0.3">
      <c r="B194" s="124"/>
      <c r="C194" s="125"/>
      <c r="D194" s="133" t="s">
        <v>123</v>
      </c>
      <c r="E194" s="125"/>
      <c r="F194" s="125"/>
      <c r="G194" s="125"/>
      <c r="H194" s="125"/>
      <c r="I194" s="125"/>
      <c r="J194" s="125"/>
      <c r="K194" s="125"/>
      <c r="L194" s="125"/>
      <c r="M194" s="125"/>
      <c r="N194" s="195">
        <f>$BK$194</f>
        <v>0</v>
      </c>
      <c r="O194" s="196"/>
      <c r="P194" s="196"/>
      <c r="Q194" s="196"/>
      <c r="R194" s="127"/>
      <c r="T194" s="128"/>
      <c r="U194" s="125"/>
      <c r="V194" s="125"/>
      <c r="W194" s="129">
        <f>SUM($W$195:$W$196)</f>
        <v>1.1719999999999999</v>
      </c>
      <c r="X194" s="125"/>
      <c r="Y194" s="129">
        <f>SUM($Y$195:$Y$196)</f>
        <v>6.4000000000000003E-3</v>
      </c>
      <c r="Z194" s="125"/>
      <c r="AA194" s="130">
        <f>SUM($AA$195:$AA$196)</f>
        <v>0</v>
      </c>
      <c r="AR194" s="131" t="s">
        <v>102</v>
      </c>
      <c r="AT194" s="131" t="s">
        <v>71</v>
      </c>
      <c r="AU194" s="131" t="s">
        <v>17</v>
      </c>
      <c r="AY194" s="131" t="s">
        <v>156</v>
      </c>
      <c r="BK194" s="132">
        <f>SUM($BK$195:$BK$196)</f>
        <v>0</v>
      </c>
    </row>
    <row r="195" spans="2:64" s="6" customFormat="1" ht="27" customHeight="1" x14ac:dyDescent="0.3">
      <c r="B195" s="22"/>
      <c r="C195" s="134" t="s">
        <v>303</v>
      </c>
      <c r="D195" s="134" t="s">
        <v>157</v>
      </c>
      <c r="E195" s="135" t="s">
        <v>310</v>
      </c>
      <c r="F195" s="205" t="s">
        <v>311</v>
      </c>
      <c r="G195" s="202"/>
      <c r="H195" s="202"/>
      <c r="I195" s="202"/>
      <c r="J195" s="136" t="s">
        <v>176</v>
      </c>
      <c r="K195" s="137">
        <v>2</v>
      </c>
      <c r="L195" s="201">
        <v>0</v>
      </c>
      <c r="M195" s="202"/>
      <c r="N195" s="203">
        <f>ROUND($L$195*$K$195,2)</f>
        <v>0</v>
      </c>
      <c r="O195" s="202"/>
      <c r="P195" s="202"/>
      <c r="Q195" s="202"/>
      <c r="R195" s="24"/>
      <c r="T195" s="138"/>
      <c r="U195" s="30" t="s">
        <v>37</v>
      </c>
      <c r="V195" s="139">
        <v>0.58599999999999997</v>
      </c>
      <c r="W195" s="139">
        <f>$V$195*$K$195</f>
        <v>1.1719999999999999</v>
      </c>
      <c r="X195" s="139">
        <v>0</v>
      </c>
      <c r="Y195" s="139">
        <f>$X$195*$K$195</f>
        <v>0</v>
      </c>
      <c r="Z195" s="139">
        <v>0</v>
      </c>
      <c r="AA195" s="140">
        <f>$Z$195*$K$195</f>
        <v>0</v>
      </c>
      <c r="AR195" s="6" t="s">
        <v>161</v>
      </c>
      <c r="AT195" s="6" t="s">
        <v>157</v>
      </c>
      <c r="AU195" s="6" t="s">
        <v>102</v>
      </c>
      <c r="AY195" s="6" t="s">
        <v>156</v>
      </c>
      <c r="BE195" s="88">
        <f>IF($U$195="základní",$N$195,0)</f>
        <v>0</v>
      </c>
      <c r="BF195" s="88">
        <f>IF($U$195="snížená",$N$195,0)</f>
        <v>0</v>
      </c>
      <c r="BG195" s="88">
        <f>IF($U$195="zákl. přenesená",$N$195,0)</f>
        <v>0</v>
      </c>
      <c r="BH195" s="88">
        <f>IF($U$195="sníž. přenesená",$N$195,0)</f>
        <v>0</v>
      </c>
      <c r="BI195" s="88">
        <f>IF($U$195="nulová",$N$195,0)</f>
        <v>0</v>
      </c>
      <c r="BJ195" s="6" t="s">
        <v>17</v>
      </c>
      <c r="BK195" s="88">
        <f>ROUND($L$195*$K$195,2)</f>
        <v>0</v>
      </c>
      <c r="BL195" s="6" t="s">
        <v>161</v>
      </c>
    </row>
    <row r="196" spans="2:64" s="6" customFormat="1" ht="15.75" customHeight="1" x14ac:dyDescent="0.3">
      <c r="B196" s="22"/>
      <c r="C196" s="141" t="s">
        <v>306</v>
      </c>
      <c r="D196" s="141" t="s">
        <v>313</v>
      </c>
      <c r="E196" s="142" t="s">
        <v>314</v>
      </c>
      <c r="F196" s="206" t="s">
        <v>315</v>
      </c>
      <c r="G196" s="207"/>
      <c r="H196" s="207"/>
      <c r="I196" s="207"/>
      <c r="J196" s="143" t="s">
        <v>176</v>
      </c>
      <c r="K196" s="144">
        <v>2</v>
      </c>
      <c r="L196" s="208">
        <v>0</v>
      </c>
      <c r="M196" s="207"/>
      <c r="N196" s="209">
        <f>ROUND($L$196*$K$196,2)</f>
        <v>0</v>
      </c>
      <c r="O196" s="202"/>
      <c r="P196" s="202"/>
      <c r="Q196" s="202"/>
      <c r="R196" s="24"/>
      <c r="T196" s="138"/>
      <c r="U196" s="30" t="s">
        <v>37</v>
      </c>
      <c r="V196" s="139">
        <v>0</v>
      </c>
      <c r="W196" s="139">
        <f>$V$196*$K$196</f>
        <v>0</v>
      </c>
      <c r="X196" s="139">
        <v>3.2000000000000002E-3</v>
      </c>
      <c r="Y196" s="139">
        <f>$X$196*$K$196</f>
        <v>6.4000000000000003E-3</v>
      </c>
      <c r="Z196" s="139">
        <v>0</v>
      </c>
      <c r="AA196" s="140">
        <f>$Z$196*$K$196</f>
        <v>0</v>
      </c>
      <c r="AR196" s="6" t="s">
        <v>251</v>
      </c>
      <c r="AT196" s="6" t="s">
        <v>313</v>
      </c>
      <c r="AU196" s="6" t="s">
        <v>102</v>
      </c>
      <c r="AY196" s="6" t="s">
        <v>156</v>
      </c>
      <c r="BE196" s="88">
        <f>IF($U$196="základní",$N$196,0)</f>
        <v>0</v>
      </c>
      <c r="BF196" s="88">
        <f>IF($U$196="snížená",$N$196,0)</f>
        <v>0</v>
      </c>
      <c r="BG196" s="88">
        <f>IF($U$196="zákl. přenesená",$N$196,0)</f>
        <v>0</v>
      </c>
      <c r="BH196" s="88">
        <f>IF($U$196="sníž. přenesená",$N$196,0)</f>
        <v>0</v>
      </c>
      <c r="BI196" s="88">
        <f>IF($U$196="nulová",$N$196,0)</f>
        <v>0</v>
      </c>
      <c r="BJ196" s="6" t="s">
        <v>17</v>
      </c>
      <c r="BK196" s="88">
        <f>ROUND($L$196*$K$196,2)</f>
        <v>0</v>
      </c>
      <c r="BL196" s="6" t="s">
        <v>161</v>
      </c>
    </row>
    <row r="197" spans="2:64" s="123" customFormat="1" ht="30.75" customHeight="1" x14ac:dyDescent="0.3">
      <c r="B197" s="124"/>
      <c r="C197" s="125"/>
      <c r="D197" s="133" t="s">
        <v>124</v>
      </c>
      <c r="E197" s="125"/>
      <c r="F197" s="125"/>
      <c r="G197" s="125"/>
      <c r="H197" s="125"/>
      <c r="I197" s="125"/>
      <c r="J197" s="125"/>
      <c r="K197" s="125"/>
      <c r="L197" s="125"/>
      <c r="M197" s="125"/>
      <c r="N197" s="195">
        <f>$BK$197</f>
        <v>0</v>
      </c>
      <c r="O197" s="196"/>
      <c r="P197" s="196"/>
      <c r="Q197" s="196"/>
      <c r="R197" s="127"/>
      <c r="T197" s="128"/>
      <c r="U197" s="125"/>
      <c r="V197" s="125"/>
      <c r="W197" s="129">
        <f>$W$198</f>
        <v>0.86899999999999999</v>
      </c>
      <c r="X197" s="125"/>
      <c r="Y197" s="129">
        <f>$Y$198</f>
        <v>0</v>
      </c>
      <c r="Z197" s="125"/>
      <c r="AA197" s="130">
        <f>$AA$198</f>
        <v>0</v>
      </c>
      <c r="AR197" s="131" t="s">
        <v>102</v>
      </c>
      <c r="AT197" s="131" t="s">
        <v>71</v>
      </c>
      <c r="AU197" s="131" t="s">
        <v>17</v>
      </c>
      <c r="AY197" s="131" t="s">
        <v>156</v>
      </c>
      <c r="BK197" s="132">
        <f>$BK$198</f>
        <v>0</v>
      </c>
    </row>
    <row r="198" spans="2:64" s="6" customFormat="1" ht="27" customHeight="1" x14ac:dyDescent="0.3">
      <c r="B198" s="22"/>
      <c r="C198" s="134" t="s">
        <v>309</v>
      </c>
      <c r="D198" s="134" t="s">
        <v>157</v>
      </c>
      <c r="E198" s="135" t="s">
        <v>317</v>
      </c>
      <c r="F198" s="205" t="s">
        <v>318</v>
      </c>
      <c r="G198" s="202"/>
      <c r="H198" s="202"/>
      <c r="I198" s="202"/>
      <c r="J198" s="136" t="s">
        <v>176</v>
      </c>
      <c r="K198" s="137">
        <v>1</v>
      </c>
      <c r="L198" s="201">
        <v>0</v>
      </c>
      <c r="M198" s="202"/>
      <c r="N198" s="203">
        <f>ROUND($L$198*$K$198,2)</f>
        <v>0</v>
      </c>
      <c r="O198" s="202"/>
      <c r="P198" s="202"/>
      <c r="Q198" s="202"/>
      <c r="R198" s="24"/>
      <c r="T198" s="138"/>
      <c r="U198" s="30" t="s">
        <v>37</v>
      </c>
      <c r="V198" s="139">
        <v>0.86899999999999999</v>
      </c>
      <c r="W198" s="139">
        <f>$V$198*$K$198</f>
        <v>0.86899999999999999</v>
      </c>
      <c r="X198" s="139">
        <v>0</v>
      </c>
      <c r="Y198" s="139">
        <f>$X$198*$K$198</f>
        <v>0</v>
      </c>
      <c r="Z198" s="139">
        <v>0</v>
      </c>
      <c r="AA198" s="140">
        <f>$Z$198*$K$198</f>
        <v>0</v>
      </c>
      <c r="AR198" s="6" t="s">
        <v>161</v>
      </c>
      <c r="AT198" s="6" t="s">
        <v>157</v>
      </c>
      <c r="AU198" s="6" t="s">
        <v>102</v>
      </c>
      <c r="AY198" s="6" t="s">
        <v>156</v>
      </c>
      <c r="BE198" s="88">
        <f>IF($U$198="základní",$N$198,0)</f>
        <v>0</v>
      </c>
      <c r="BF198" s="88">
        <f>IF($U$198="snížená",$N$198,0)</f>
        <v>0</v>
      </c>
      <c r="BG198" s="88">
        <f>IF($U$198="zákl. přenesená",$N$198,0)</f>
        <v>0</v>
      </c>
      <c r="BH198" s="88">
        <f>IF($U$198="sníž. přenesená",$N$198,0)</f>
        <v>0</v>
      </c>
      <c r="BI198" s="88">
        <f>IF($U$198="nulová",$N$198,0)</f>
        <v>0</v>
      </c>
      <c r="BJ198" s="6" t="s">
        <v>17</v>
      </c>
      <c r="BK198" s="88">
        <f>ROUND($L$198*$K$198,2)</f>
        <v>0</v>
      </c>
      <c r="BL198" s="6" t="s">
        <v>161</v>
      </c>
    </row>
    <row r="199" spans="2:64" s="123" customFormat="1" ht="30.75" customHeight="1" x14ac:dyDescent="0.3">
      <c r="B199" s="124"/>
      <c r="C199" s="125"/>
      <c r="D199" s="133" t="s">
        <v>125</v>
      </c>
      <c r="E199" s="125"/>
      <c r="F199" s="125"/>
      <c r="G199" s="125"/>
      <c r="H199" s="125"/>
      <c r="I199" s="125"/>
      <c r="J199" s="125"/>
      <c r="K199" s="125"/>
      <c r="L199" s="125"/>
      <c r="M199" s="125"/>
      <c r="N199" s="195">
        <f>$BK$199</f>
        <v>0</v>
      </c>
      <c r="O199" s="196"/>
      <c r="P199" s="196"/>
      <c r="Q199" s="196"/>
      <c r="R199" s="127"/>
      <c r="T199" s="128"/>
      <c r="U199" s="125"/>
      <c r="V199" s="125"/>
      <c r="W199" s="129">
        <f>SUM($W$200:$W$204)</f>
        <v>1.9998929999999999</v>
      </c>
      <c r="X199" s="125"/>
      <c r="Y199" s="129">
        <f>SUM($Y$200:$Y$204)</f>
        <v>3.2899999999999999E-2</v>
      </c>
      <c r="Z199" s="125"/>
      <c r="AA199" s="130">
        <f>SUM($AA$200:$AA$204)</f>
        <v>4.2000000000000002E-4</v>
      </c>
      <c r="AR199" s="131" t="s">
        <v>102</v>
      </c>
      <c r="AT199" s="131" t="s">
        <v>71</v>
      </c>
      <c r="AU199" s="131" t="s">
        <v>17</v>
      </c>
      <c r="AY199" s="131" t="s">
        <v>156</v>
      </c>
      <c r="BK199" s="132">
        <f>SUM($BK$200:$BK$204)</f>
        <v>0</v>
      </c>
    </row>
    <row r="200" spans="2:64" s="6" customFormat="1" ht="27" customHeight="1" x14ac:dyDescent="0.3">
      <c r="B200" s="22"/>
      <c r="C200" s="134" t="s">
        <v>312</v>
      </c>
      <c r="D200" s="134" t="s">
        <v>157</v>
      </c>
      <c r="E200" s="135" t="s">
        <v>320</v>
      </c>
      <c r="F200" s="205" t="s">
        <v>321</v>
      </c>
      <c r="G200" s="202"/>
      <c r="H200" s="202"/>
      <c r="I200" s="202"/>
      <c r="J200" s="136" t="s">
        <v>176</v>
      </c>
      <c r="K200" s="137">
        <v>1</v>
      </c>
      <c r="L200" s="201">
        <v>0</v>
      </c>
      <c r="M200" s="202"/>
      <c r="N200" s="203">
        <f>ROUND($L$200*$K$200,2)</f>
        <v>0</v>
      </c>
      <c r="O200" s="202"/>
      <c r="P200" s="202"/>
      <c r="Q200" s="202"/>
      <c r="R200" s="24"/>
      <c r="T200" s="138"/>
      <c r="U200" s="30" t="s">
        <v>37</v>
      </c>
      <c r="V200" s="139">
        <v>1.825</v>
      </c>
      <c r="W200" s="139">
        <f>$V$200*$K$200</f>
        <v>1.825</v>
      </c>
      <c r="X200" s="139">
        <v>0</v>
      </c>
      <c r="Y200" s="139">
        <f>$X$200*$K$200</f>
        <v>0</v>
      </c>
      <c r="Z200" s="139">
        <v>0</v>
      </c>
      <c r="AA200" s="140">
        <f>$Z$200*$K$200</f>
        <v>0</v>
      </c>
      <c r="AR200" s="6" t="s">
        <v>161</v>
      </c>
      <c r="AT200" s="6" t="s">
        <v>157</v>
      </c>
      <c r="AU200" s="6" t="s">
        <v>102</v>
      </c>
      <c r="AY200" s="6" t="s">
        <v>156</v>
      </c>
      <c r="BE200" s="88">
        <f>IF($U$200="základní",$N$200,0)</f>
        <v>0</v>
      </c>
      <c r="BF200" s="88">
        <f>IF($U$200="snížená",$N$200,0)</f>
        <v>0</v>
      </c>
      <c r="BG200" s="88">
        <f>IF($U$200="zákl. přenesená",$N$200,0)</f>
        <v>0</v>
      </c>
      <c r="BH200" s="88">
        <f>IF($U$200="sníž. přenesená",$N$200,0)</f>
        <v>0</v>
      </c>
      <c r="BI200" s="88">
        <f>IF($U$200="nulová",$N$200,0)</f>
        <v>0</v>
      </c>
      <c r="BJ200" s="6" t="s">
        <v>17</v>
      </c>
      <c r="BK200" s="88">
        <f>ROUND($L$200*$K$200,2)</f>
        <v>0</v>
      </c>
      <c r="BL200" s="6" t="s">
        <v>161</v>
      </c>
    </row>
    <row r="201" spans="2:64" s="6" customFormat="1" ht="15.75" customHeight="1" x14ac:dyDescent="0.3">
      <c r="B201" s="22"/>
      <c r="C201" s="141" t="s">
        <v>316</v>
      </c>
      <c r="D201" s="141" t="s">
        <v>313</v>
      </c>
      <c r="E201" s="142" t="s">
        <v>396</v>
      </c>
      <c r="F201" s="206" t="s">
        <v>397</v>
      </c>
      <c r="G201" s="207"/>
      <c r="H201" s="207"/>
      <c r="I201" s="207"/>
      <c r="J201" s="143" t="s">
        <v>176</v>
      </c>
      <c r="K201" s="144">
        <v>1</v>
      </c>
      <c r="L201" s="208">
        <v>0</v>
      </c>
      <c r="M201" s="207"/>
      <c r="N201" s="209">
        <f>ROUND($L$201*$K$201,2)</f>
        <v>0</v>
      </c>
      <c r="O201" s="202"/>
      <c r="P201" s="202"/>
      <c r="Q201" s="202"/>
      <c r="R201" s="24"/>
      <c r="T201" s="138"/>
      <c r="U201" s="30" t="s">
        <v>37</v>
      </c>
      <c r="V201" s="139">
        <v>0</v>
      </c>
      <c r="W201" s="139">
        <f>$V$201*$K$201</f>
        <v>0</v>
      </c>
      <c r="X201" s="139">
        <v>1.14E-2</v>
      </c>
      <c r="Y201" s="139">
        <f>$X$201*$K$201</f>
        <v>1.14E-2</v>
      </c>
      <c r="Z201" s="139">
        <v>0</v>
      </c>
      <c r="AA201" s="140">
        <f>$Z$201*$K$201</f>
        <v>0</v>
      </c>
      <c r="AR201" s="6" t="s">
        <v>251</v>
      </c>
      <c r="AT201" s="6" t="s">
        <v>313</v>
      </c>
      <c r="AU201" s="6" t="s">
        <v>102</v>
      </c>
      <c r="AY201" s="6" t="s">
        <v>156</v>
      </c>
      <c r="BE201" s="88">
        <f>IF($U$201="základní",$N$201,0)</f>
        <v>0</v>
      </c>
      <c r="BF201" s="88">
        <f>IF($U$201="snížená",$N$201,0)</f>
        <v>0</v>
      </c>
      <c r="BG201" s="88">
        <f>IF($U$201="zákl. přenesená",$N$201,0)</f>
        <v>0</v>
      </c>
      <c r="BH201" s="88">
        <f>IF($U$201="sníž. přenesená",$N$201,0)</f>
        <v>0</v>
      </c>
      <c r="BI201" s="88">
        <f>IF($U$201="nulová",$N$201,0)</f>
        <v>0</v>
      </c>
      <c r="BJ201" s="6" t="s">
        <v>17</v>
      </c>
      <c r="BK201" s="88">
        <f>ROUND($L$201*$K$201,2)</f>
        <v>0</v>
      </c>
      <c r="BL201" s="6" t="s">
        <v>161</v>
      </c>
    </row>
    <row r="202" spans="2:64" s="6" customFormat="1" ht="51" customHeight="1" x14ac:dyDescent="0.3">
      <c r="B202" s="22"/>
      <c r="C202" s="141" t="s">
        <v>319</v>
      </c>
      <c r="D202" s="141" t="s">
        <v>313</v>
      </c>
      <c r="E202" s="142" t="s">
        <v>398</v>
      </c>
      <c r="F202" s="206" t="s">
        <v>399</v>
      </c>
      <c r="G202" s="207"/>
      <c r="H202" s="207"/>
      <c r="I202" s="207"/>
      <c r="J202" s="143" t="s">
        <v>176</v>
      </c>
      <c r="K202" s="144">
        <v>1</v>
      </c>
      <c r="L202" s="208">
        <v>0</v>
      </c>
      <c r="M202" s="207"/>
      <c r="N202" s="209">
        <f>ROUND($L$202*$K$202,2)</f>
        <v>0</v>
      </c>
      <c r="O202" s="202"/>
      <c r="P202" s="202"/>
      <c r="Q202" s="202"/>
      <c r="R202" s="24"/>
      <c r="T202" s="138"/>
      <c r="U202" s="30" t="s">
        <v>37</v>
      </c>
      <c r="V202" s="139">
        <v>0</v>
      </c>
      <c r="W202" s="139">
        <f>$V$202*$K$202</f>
        <v>0</v>
      </c>
      <c r="X202" s="139">
        <v>2.1499999999999998E-2</v>
      </c>
      <c r="Y202" s="139">
        <f>$X$202*$K$202</f>
        <v>2.1499999999999998E-2</v>
      </c>
      <c r="Z202" s="139">
        <v>0</v>
      </c>
      <c r="AA202" s="140">
        <f>$Z$202*$K$202</f>
        <v>0</v>
      </c>
      <c r="AR202" s="6" t="s">
        <v>251</v>
      </c>
      <c r="AT202" s="6" t="s">
        <v>313</v>
      </c>
      <c r="AU202" s="6" t="s">
        <v>102</v>
      </c>
      <c r="AY202" s="6" t="s">
        <v>156</v>
      </c>
      <c r="BE202" s="88">
        <f>IF($U$202="základní",$N$202,0)</f>
        <v>0</v>
      </c>
      <c r="BF202" s="88">
        <f>IF($U$202="snížená",$N$202,0)</f>
        <v>0</v>
      </c>
      <c r="BG202" s="88">
        <f>IF($U$202="zákl. přenesená",$N$202,0)</f>
        <v>0</v>
      </c>
      <c r="BH202" s="88">
        <f>IF($U$202="sníž. přenesená",$N$202,0)</f>
        <v>0</v>
      </c>
      <c r="BI202" s="88">
        <f>IF($U$202="nulová",$N$202,0)</f>
        <v>0</v>
      </c>
      <c r="BJ202" s="6" t="s">
        <v>17</v>
      </c>
      <c r="BK202" s="88">
        <f>ROUND($L$202*$K$202,2)</f>
        <v>0</v>
      </c>
      <c r="BL202" s="6" t="s">
        <v>161</v>
      </c>
    </row>
    <row r="203" spans="2:64" s="6" customFormat="1" ht="15.75" customHeight="1" x14ac:dyDescent="0.3">
      <c r="B203" s="22"/>
      <c r="C203" s="134" t="s">
        <v>322</v>
      </c>
      <c r="D203" s="134" t="s">
        <v>157</v>
      </c>
      <c r="E203" s="135" t="s">
        <v>335</v>
      </c>
      <c r="F203" s="205" t="s">
        <v>336</v>
      </c>
      <c r="G203" s="202"/>
      <c r="H203" s="202"/>
      <c r="I203" s="202"/>
      <c r="J203" s="136" t="s">
        <v>176</v>
      </c>
      <c r="K203" s="137">
        <v>1</v>
      </c>
      <c r="L203" s="201">
        <v>0</v>
      </c>
      <c r="M203" s="202"/>
      <c r="N203" s="203">
        <f>ROUND($L$203*$K$203,2)</f>
        <v>0</v>
      </c>
      <c r="O203" s="202"/>
      <c r="P203" s="202"/>
      <c r="Q203" s="202"/>
      <c r="R203" s="24"/>
      <c r="T203" s="138"/>
      <c r="U203" s="30" t="s">
        <v>37</v>
      </c>
      <c r="V203" s="139">
        <v>9.5000000000000001E-2</v>
      </c>
      <c r="W203" s="139">
        <f>$V$203*$K$203</f>
        <v>9.5000000000000001E-2</v>
      </c>
      <c r="X203" s="139">
        <v>0</v>
      </c>
      <c r="Y203" s="139">
        <f>$X$203*$K$203</f>
        <v>0</v>
      </c>
      <c r="Z203" s="139">
        <v>4.2000000000000002E-4</v>
      </c>
      <c r="AA203" s="140">
        <f>$Z$203*$K$203</f>
        <v>4.2000000000000002E-4</v>
      </c>
      <c r="AR203" s="6" t="s">
        <v>161</v>
      </c>
      <c r="AT203" s="6" t="s">
        <v>157</v>
      </c>
      <c r="AU203" s="6" t="s">
        <v>102</v>
      </c>
      <c r="AY203" s="6" t="s">
        <v>156</v>
      </c>
      <c r="BE203" s="88">
        <f>IF($U$203="základní",$N$203,0)</f>
        <v>0</v>
      </c>
      <c r="BF203" s="88">
        <f>IF($U$203="snížená",$N$203,0)</f>
        <v>0</v>
      </c>
      <c r="BG203" s="88">
        <f>IF($U$203="zákl. přenesená",$N$203,0)</f>
        <v>0</v>
      </c>
      <c r="BH203" s="88">
        <f>IF($U$203="sníž. přenesená",$N$203,0)</f>
        <v>0</v>
      </c>
      <c r="BI203" s="88">
        <f>IF($U$203="nulová",$N$203,0)</f>
        <v>0</v>
      </c>
      <c r="BJ203" s="6" t="s">
        <v>17</v>
      </c>
      <c r="BK203" s="88">
        <f>ROUND($L$203*$K$203,2)</f>
        <v>0</v>
      </c>
      <c r="BL203" s="6" t="s">
        <v>161</v>
      </c>
    </row>
    <row r="204" spans="2:64" s="6" customFormat="1" ht="27" customHeight="1" x14ac:dyDescent="0.3">
      <c r="B204" s="22"/>
      <c r="C204" s="134" t="s">
        <v>325</v>
      </c>
      <c r="D204" s="134" t="s">
        <v>157</v>
      </c>
      <c r="E204" s="135" t="s">
        <v>338</v>
      </c>
      <c r="F204" s="205" t="s">
        <v>339</v>
      </c>
      <c r="G204" s="202"/>
      <c r="H204" s="202"/>
      <c r="I204" s="202"/>
      <c r="J204" s="136" t="s">
        <v>204</v>
      </c>
      <c r="K204" s="137">
        <v>3.3000000000000002E-2</v>
      </c>
      <c r="L204" s="201">
        <v>0</v>
      </c>
      <c r="M204" s="202"/>
      <c r="N204" s="203">
        <f>ROUND($L$204*$K$204,2)</f>
        <v>0</v>
      </c>
      <c r="O204" s="202"/>
      <c r="P204" s="202"/>
      <c r="Q204" s="202"/>
      <c r="R204" s="24"/>
      <c r="T204" s="138"/>
      <c r="U204" s="30" t="s">
        <v>37</v>
      </c>
      <c r="V204" s="139">
        <v>2.4209999999999998</v>
      </c>
      <c r="W204" s="139">
        <f>$V$204*$K$204</f>
        <v>7.9892999999999992E-2</v>
      </c>
      <c r="X204" s="139">
        <v>0</v>
      </c>
      <c r="Y204" s="139">
        <f>$X$204*$K$204</f>
        <v>0</v>
      </c>
      <c r="Z204" s="139">
        <v>0</v>
      </c>
      <c r="AA204" s="140">
        <f>$Z$204*$K$204</f>
        <v>0</v>
      </c>
      <c r="AR204" s="6" t="s">
        <v>161</v>
      </c>
      <c r="AT204" s="6" t="s">
        <v>157</v>
      </c>
      <c r="AU204" s="6" t="s">
        <v>102</v>
      </c>
      <c r="AY204" s="6" t="s">
        <v>156</v>
      </c>
      <c r="BE204" s="88">
        <f>IF($U$204="základní",$N$204,0)</f>
        <v>0</v>
      </c>
      <c r="BF204" s="88">
        <f>IF($U$204="snížená",$N$204,0)</f>
        <v>0</v>
      </c>
      <c r="BG204" s="88">
        <f>IF($U$204="zákl. přenesená",$N$204,0)</f>
        <v>0</v>
      </c>
      <c r="BH204" s="88">
        <f>IF($U$204="sníž. přenesená",$N$204,0)</f>
        <v>0</v>
      </c>
      <c r="BI204" s="88">
        <f>IF($U$204="nulová",$N$204,0)</f>
        <v>0</v>
      </c>
      <c r="BJ204" s="6" t="s">
        <v>17</v>
      </c>
      <c r="BK204" s="88">
        <f>ROUND($L$204*$K$204,2)</f>
        <v>0</v>
      </c>
      <c r="BL204" s="6" t="s">
        <v>161</v>
      </c>
    </row>
    <row r="205" spans="2:64" s="123" customFormat="1" ht="30.75" customHeight="1" x14ac:dyDescent="0.3">
      <c r="B205" s="124"/>
      <c r="C205" s="125"/>
      <c r="D205" s="133" t="s">
        <v>126</v>
      </c>
      <c r="E205" s="125"/>
      <c r="F205" s="125"/>
      <c r="G205" s="125"/>
      <c r="H205" s="125"/>
      <c r="I205" s="125"/>
      <c r="J205" s="125"/>
      <c r="K205" s="125"/>
      <c r="L205" s="125"/>
      <c r="M205" s="125"/>
      <c r="N205" s="195">
        <f>$BK$205</f>
        <v>0</v>
      </c>
      <c r="O205" s="196"/>
      <c r="P205" s="196"/>
      <c r="Q205" s="196"/>
      <c r="R205" s="127"/>
      <c r="T205" s="128"/>
      <c r="U205" s="125"/>
      <c r="V205" s="125"/>
      <c r="W205" s="129">
        <f>SUM($W$206:$W$211)</f>
        <v>5.2897550000000004</v>
      </c>
      <c r="X205" s="125"/>
      <c r="Y205" s="129">
        <f>SUM($Y$206:$Y$211)</f>
        <v>0.18680200000000002</v>
      </c>
      <c r="Z205" s="125"/>
      <c r="AA205" s="130">
        <f>SUM($AA$206:$AA$211)</f>
        <v>0</v>
      </c>
      <c r="AR205" s="131" t="s">
        <v>102</v>
      </c>
      <c r="AT205" s="131" t="s">
        <v>71</v>
      </c>
      <c r="AU205" s="131" t="s">
        <v>17</v>
      </c>
      <c r="AY205" s="131" t="s">
        <v>156</v>
      </c>
      <c r="BK205" s="132">
        <f>SUM($BK$206:$BK$211)</f>
        <v>0</v>
      </c>
    </row>
    <row r="206" spans="2:64" s="6" customFormat="1" ht="27" customHeight="1" x14ac:dyDescent="0.3">
      <c r="B206" s="22"/>
      <c r="C206" s="134" t="s">
        <v>328</v>
      </c>
      <c r="D206" s="134" t="s">
        <v>157</v>
      </c>
      <c r="E206" s="135" t="s">
        <v>341</v>
      </c>
      <c r="F206" s="205" t="s">
        <v>342</v>
      </c>
      <c r="G206" s="202"/>
      <c r="H206" s="202"/>
      <c r="I206" s="202"/>
      <c r="J206" s="136" t="s">
        <v>160</v>
      </c>
      <c r="K206" s="137">
        <v>5.3</v>
      </c>
      <c r="L206" s="201">
        <v>0</v>
      </c>
      <c r="M206" s="202"/>
      <c r="N206" s="203">
        <f>ROUND($L$206*$K$206,2)</f>
        <v>0</v>
      </c>
      <c r="O206" s="202"/>
      <c r="P206" s="202"/>
      <c r="Q206" s="202"/>
      <c r="R206" s="24"/>
      <c r="T206" s="138"/>
      <c r="U206" s="30" t="s">
        <v>37</v>
      </c>
      <c r="V206" s="139">
        <v>0.55000000000000004</v>
      </c>
      <c r="W206" s="139">
        <f>$V$206*$K$206</f>
        <v>2.915</v>
      </c>
      <c r="X206" s="139">
        <v>4.1700000000000001E-3</v>
      </c>
      <c r="Y206" s="139">
        <f>$X$206*$K$206</f>
        <v>2.2100999999999999E-2</v>
      </c>
      <c r="Z206" s="139">
        <v>0</v>
      </c>
      <c r="AA206" s="140">
        <f>$Z$206*$K$206</f>
        <v>0</v>
      </c>
      <c r="AR206" s="6" t="s">
        <v>161</v>
      </c>
      <c r="AT206" s="6" t="s">
        <v>157</v>
      </c>
      <c r="AU206" s="6" t="s">
        <v>102</v>
      </c>
      <c r="AY206" s="6" t="s">
        <v>156</v>
      </c>
      <c r="BE206" s="88">
        <f>IF($U$206="základní",$N$206,0)</f>
        <v>0</v>
      </c>
      <c r="BF206" s="88">
        <f>IF($U$206="snížená",$N$206,0)</f>
        <v>0</v>
      </c>
      <c r="BG206" s="88">
        <f>IF($U$206="zákl. přenesená",$N$206,0)</f>
        <v>0</v>
      </c>
      <c r="BH206" s="88">
        <f>IF($U$206="sníž. přenesená",$N$206,0)</f>
        <v>0</v>
      </c>
      <c r="BI206" s="88">
        <f>IF($U$206="nulová",$N$206,0)</f>
        <v>0</v>
      </c>
      <c r="BJ206" s="6" t="s">
        <v>17</v>
      </c>
      <c r="BK206" s="88">
        <f>ROUND($L$206*$K$206,2)</f>
        <v>0</v>
      </c>
      <c r="BL206" s="6" t="s">
        <v>161</v>
      </c>
    </row>
    <row r="207" spans="2:64" s="6" customFormat="1" ht="27" customHeight="1" x14ac:dyDescent="0.3">
      <c r="B207" s="22"/>
      <c r="C207" s="141" t="s">
        <v>331</v>
      </c>
      <c r="D207" s="141" t="s">
        <v>313</v>
      </c>
      <c r="E207" s="142" t="s">
        <v>344</v>
      </c>
      <c r="F207" s="206" t="s">
        <v>345</v>
      </c>
      <c r="G207" s="207"/>
      <c r="H207" s="207"/>
      <c r="I207" s="207"/>
      <c r="J207" s="143" t="s">
        <v>160</v>
      </c>
      <c r="K207" s="144">
        <v>6.36</v>
      </c>
      <c r="L207" s="208">
        <v>0</v>
      </c>
      <c r="M207" s="207"/>
      <c r="N207" s="209">
        <f>ROUND($L$207*$K$207,2)</f>
        <v>0</v>
      </c>
      <c r="O207" s="202"/>
      <c r="P207" s="202"/>
      <c r="Q207" s="202"/>
      <c r="R207" s="24"/>
      <c r="T207" s="138"/>
      <c r="U207" s="30" t="s">
        <v>37</v>
      </c>
      <c r="V207" s="139">
        <v>0</v>
      </c>
      <c r="W207" s="139">
        <f>$V$207*$K$207</f>
        <v>0</v>
      </c>
      <c r="X207" s="139">
        <v>1.9199999999999998E-2</v>
      </c>
      <c r="Y207" s="139">
        <f>$X$207*$K$207</f>
        <v>0.122112</v>
      </c>
      <c r="Z207" s="139">
        <v>0</v>
      </c>
      <c r="AA207" s="140">
        <f>$Z$207*$K$207</f>
        <v>0</v>
      </c>
      <c r="AR207" s="6" t="s">
        <v>251</v>
      </c>
      <c r="AT207" s="6" t="s">
        <v>313</v>
      </c>
      <c r="AU207" s="6" t="s">
        <v>102</v>
      </c>
      <c r="AY207" s="6" t="s">
        <v>156</v>
      </c>
      <c r="BE207" s="88">
        <f>IF($U$207="základní",$N$207,0)</f>
        <v>0</v>
      </c>
      <c r="BF207" s="88">
        <f>IF($U$207="snížená",$N$207,0)</f>
        <v>0</v>
      </c>
      <c r="BG207" s="88">
        <f>IF($U$207="zákl. přenesená",$N$207,0)</f>
        <v>0</v>
      </c>
      <c r="BH207" s="88">
        <f>IF($U$207="sníž. přenesená",$N$207,0)</f>
        <v>0</v>
      </c>
      <c r="BI207" s="88">
        <f>IF($U$207="nulová",$N$207,0)</f>
        <v>0</v>
      </c>
      <c r="BJ207" s="6" t="s">
        <v>17</v>
      </c>
      <c r="BK207" s="88">
        <f>ROUND($L$207*$K$207,2)</f>
        <v>0</v>
      </c>
      <c r="BL207" s="6" t="s">
        <v>161</v>
      </c>
    </row>
    <row r="208" spans="2:64" s="6" customFormat="1" ht="15.75" customHeight="1" x14ac:dyDescent="0.3">
      <c r="B208" s="22"/>
      <c r="C208" s="134" t="s">
        <v>334</v>
      </c>
      <c r="D208" s="134" t="s">
        <v>157</v>
      </c>
      <c r="E208" s="135" t="s">
        <v>347</v>
      </c>
      <c r="F208" s="205" t="s">
        <v>348</v>
      </c>
      <c r="G208" s="202"/>
      <c r="H208" s="202"/>
      <c r="I208" s="202"/>
      <c r="J208" s="136" t="s">
        <v>160</v>
      </c>
      <c r="K208" s="137">
        <v>5.3</v>
      </c>
      <c r="L208" s="201">
        <v>0</v>
      </c>
      <c r="M208" s="202"/>
      <c r="N208" s="203">
        <f>ROUND($L$208*$K$208,2)</f>
        <v>0</v>
      </c>
      <c r="O208" s="202"/>
      <c r="P208" s="202"/>
      <c r="Q208" s="202"/>
      <c r="R208" s="24"/>
      <c r="T208" s="138"/>
      <c r="U208" s="30" t="s">
        <v>37</v>
      </c>
      <c r="V208" s="139">
        <v>4.3999999999999997E-2</v>
      </c>
      <c r="W208" s="139">
        <f>$V$208*$K$208</f>
        <v>0.23319999999999999</v>
      </c>
      <c r="X208" s="139">
        <v>2.9999999999999997E-4</v>
      </c>
      <c r="Y208" s="139">
        <f>$X$208*$K$208</f>
        <v>1.5899999999999998E-3</v>
      </c>
      <c r="Z208" s="139">
        <v>0</v>
      </c>
      <c r="AA208" s="140">
        <f>$Z$208*$K$208</f>
        <v>0</v>
      </c>
      <c r="AR208" s="6" t="s">
        <v>161</v>
      </c>
      <c r="AT208" s="6" t="s">
        <v>157</v>
      </c>
      <c r="AU208" s="6" t="s">
        <v>102</v>
      </c>
      <c r="AY208" s="6" t="s">
        <v>156</v>
      </c>
      <c r="BE208" s="88">
        <f>IF($U$208="základní",$N$208,0)</f>
        <v>0</v>
      </c>
      <c r="BF208" s="88">
        <f>IF($U$208="snížená",$N$208,0)</f>
        <v>0</v>
      </c>
      <c r="BG208" s="88">
        <f>IF($U$208="zákl. přenesená",$N$208,0)</f>
        <v>0</v>
      </c>
      <c r="BH208" s="88">
        <f>IF($U$208="sníž. přenesená",$N$208,0)</f>
        <v>0</v>
      </c>
      <c r="BI208" s="88">
        <f>IF($U$208="nulová",$N$208,0)</f>
        <v>0</v>
      </c>
      <c r="BJ208" s="6" t="s">
        <v>17</v>
      </c>
      <c r="BK208" s="88">
        <f>ROUND($L$208*$K$208,2)</f>
        <v>0</v>
      </c>
      <c r="BL208" s="6" t="s">
        <v>161</v>
      </c>
    </row>
    <row r="209" spans="2:64" s="6" customFormat="1" ht="15.75" customHeight="1" x14ac:dyDescent="0.3">
      <c r="B209" s="22"/>
      <c r="C209" s="134" t="s">
        <v>337</v>
      </c>
      <c r="D209" s="134" t="s">
        <v>157</v>
      </c>
      <c r="E209" s="135" t="s">
        <v>350</v>
      </c>
      <c r="F209" s="205" t="s">
        <v>351</v>
      </c>
      <c r="G209" s="202"/>
      <c r="H209" s="202"/>
      <c r="I209" s="202"/>
      <c r="J209" s="136" t="s">
        <v>195</v>
      </c>
      <c r="K209" s="137">
        <v>6.3</v>
      </c>
      <c r="L209" s="201">
        <v>0</v>
      </c>
      <c r="M209" s="202"/>
      <c r="N209" s="203">
        <f>ROUND($L$209*$K$209,2)</f>
        <v>0</v>
      </c>
      <c r="O209" s="202"/>
      <c r="P209" s="202"/>
      <c r="Q209" s="202"/>
      <c r="R209" s="24"/>
      <c r="T209" s="138"/>
      <c r="U209" s="30" t="s">
        <v>37</v>
      </c>
      <c r="V209" s="139">
        <v>0.05</v>
      </c>
      <c r="W209" s="139">
        <f>$V$209*$K$209</f>
        <v>0.315</v>
      </c>
      <c r="X209" s="139">
        <v>3.0000000000000001E-5</v>
      </c>
      <c r="Y209" s="139">
        <f>$X$209*$K$209</f>
        <v>1.8899999999999999E-4</v>
      </c>
      <c r="Z209" s="139">
        <v>0</v>
      </c>
      <c r="AA209" s="140">
        <f>$Z$209*$K$209</f>
        <v>0</v>
      </c>
      <c r="AR209" s="6" t="s">
        <v>161</v>
      </c>
      <c r="AT209" s="6" t="s">
        <v>157</v>
      </c>
      <c r="AU209" s="6" t="s">
        <v>102</v>
      </c>
      <c r="AY209" s="6" t="s">
        <v>156</v>
      </c>
      <c r="BE209" s="88">
        <f>IF($U$209="základní",$N$209,0)</f>
        <v>0</v>
      </c>
      <c r="BF209" s="88">
        <f>IF($U$209="snížená",$N$209,0)</f>
        <v>0</v>
      </c>
      <c r="BG209" s="88">
        <f>IF($U$209="zákl. přenesená",$N$209,0)</f>
        <v>0</v>
      </c>
      <c r="BH209" s="88">
        <f>IF($U$209="sníž. přenesená",$N$209,0)</f>
        <v>0</v>
      </c>
      <c r="BI209" s="88">
        <f>IF($U$209="nulová",$N$209,0)</f>
        <v>0</v>
      </c>
      <c r="BJ209" s="6" t="s">
        <v>17</v>
      </c>
      <c r="BK209" s="88">
        <f>ROUND($L$209*$K$209,2)</f>
        <v>0</v>
      </c>
      <c r="BL209" s="6" t="s">
        <v>161</v>
      </c>
    </row>
    <row r="210" spans="2:64" s="6" customFormat="1" ht="27" customHeight="1" x14ac:dyDescent="0.3">
      <c r="B210" s="22"/>
      <c r="C210" s="134" t="s">
        <v>340</v>
      </c>
      <c r="D210" s="134" t="s">
        <v>157</v>
      </c>
      <c r="E210" s="135" t="s">
        <v>353</v>
      </c>
      <c r="F210" s="205" t="s">
        <v>354</v>
      </c>
      <c r="G210" s="202"/>
      <c r="H210" s="202"/>
      <c r="I210" s="202"/>
      <c r="J210" s="136" t="s">
        <v>160</v>
      </c>
      <c r="K210" s="137">
        <v>5.3</v>
      </c>
      <c r="L210" s="201">
        <v>0</v>
      </c>
      <c r="M210" s="202"/>
      <c r="N210" s="203">
        <f>ROUND($L$210*$K$210,2)</f>
        <v>0</v>
      </c>
      <c r="O210" s="202"/>
      <c r="P210" s="202"/>
      <c r="Q210" s="202"/>
      <c r="R210" s="24"/>
      <c r="T210" s="138"/>
      <c r="U210" s="30" t="s">
        <v>37</v>
      </c>
      <c r="V210" s="139">
        <v>0.3</v>
      </c>
      <c r="W210" s="139">
        <f>$V$210*$K$210</f>
        <v>1.5899999999999999</v>
      </c>
      <c r="X210" s="139">
        <v>7.7000000000000002E-3</v>
      </c>
      <c r="Y210" s="139">
        <f>$X$210*$K$210</f>
        <v>4.0809999999999999E-2</v>
      </c>
      <c r="Z210" s="139">
        <v>0</v>
      </c>
      <c r="AA210" s="140">
        <f>$Z$210*$K$210</f>
        <v>0</v>
      </c>
      <c r="AR210" s="6" t="s">
        <v>161</v>
      </c>
      <c r="AT210" s="6" t="s">
        <v>157</v>
      </c>
      <c r="AU210" s="6" t="s">
        <v>102</v>
      </c>
      <c r="AY210" s="6" t="s">
        <v>156</v>
      </c>
      <c r="BE210" s="88">
        <f>IF($U$210="základní",$N$210,0)</f>
        <v>0</v>
      </c>
      <c r="BF210" s="88">
        <f>IF($U$210="snížená",$N$210,0)</f>
        <v>0</v>
      </c>
      <c r="BG210" s="88">
        <f>IF($U$210="zákl. přenesená",$N$210,0)</f>
        <v>0</v>
      </c>
      <c r="BH210" s="88">
        <f>IF($U$210="sníž. přenesená",$N$210,0)</f>
        <v>0</v>
      </c>
      <c r="BI210" s="88">
        <f>IF($U$210="nulová",$N$210,0)</f>
        <v>0</v>
      </c>
      <c r="BJ210" s="6" t="s">
        <v>17</v>
      </c>
      <c r="BK210" s="88">
        <f>ROUND($L$210*$K$210,2)</f>
        <v>0</v>
      </c>
      <c r="BL210" s="6" t="s">
        <v>161</v>
      </c>
    </row>
    <row r="211" spans="2:64" s="6" customFormat="1" ht="27" customHeight="1" x14ac:dyDescent="0.3">
      <c r="B211" s="22"/>
      <c r="C211" s="134" t="s">
        <v>343</v>
      </c>
      <c r="D211" s="134" t="s">
        <v>157</v>
      </c>
      <c r="E211" s="135" t="s">
        <v>356</v>
      </c>
      <c r="F211" s="205" t="s">
        <v>357</v>
      </c>
      <c r="G211" s="202"/>
      <c r="H211" s="202"/>
      <c r="I211" s="202"/>
      <c r="J211" s="136" t="s">
        <v>204</v>
      </c>
      <c r="K211" s="137">
        <v>0.187</v>
      </c>
      <c r="L211" s="201">
        <v>0</v>
      </c>
      <c r="M211" s="202"/>
      <c r="N211" s="203">
        <f>ROUND($L$211*$K$211,2)</f>
        <v>0</v>
      </c>
      <c r="O211" s="202"/>
      <c r="P211" s="202"/>
      <c r="Q211" s="202"/>
      <c r="R211" s="24"/>
      <c r="T211" s="138"/>
      <c r="U211" s="30" t="s">
        <v>37</v>
      </c>
      <c r="V211" s="139">
        <v>1.2649999999999999</v>
      </c>
      <c r="W211" s="139">
        <f>$V$211*$K$211</f>
        <v>0.23655499999999999</v>
      </c>
      <c r="X211" s="139">
        <v>0</v>
      </c>
      <c r="Y211" s="139">
        <f>$X$211*$K$211</f>
        <v>0</v>
      </c>
      <c r="Z211" s="139">
        <v>0</v>
      </c>
      <c r="AA211" s="140">
        <f>$Z$211*$K$211</f>
        <v>0</v>
      </c>
      <c r="AR211" s="6" t="s">
        <v>161</v>
      </c>
      <c r="AT211" s="6" t="s">
        <v>157</v>
      </c>
      <c r="AU211" s="6" t="s">
        <v>102</v>
      </c>
      <c r="AY211" s="6" t="s">
        <v>156</v>
      </c>
      <c r="BE211" s="88">
        <f>IF($U$211="základní",$N$211,0)</f>
        <v>0</v>
      </c>
      <c r="BF211" s="88">
        <f>IF($U$211="snížená",$N$211,0)</f>
        <v>0</v>
      </c>
      <c r="BG211" s="88">
        <f>IF($U$211="zákl. přenesená",$N$211,0)</f>
        <v>0</v>
      </c>
      <c r="BH211" s="88">
        <f>IF($U$211="sníž. přenesená",$N$211,0)</f>
        <v>0</v>
      </c>
      <c r="BI211" s="88">
        <f>IF($U$211="nulová",$N$211,0)</f>
        <v>0</v>
      </c>
      <c r="BJ211" s="6" t="s">
        <v>17</v>
      </c>
      <c r="BK211" s="88">
        <f>ROUND($L$211*$K$211,2)</f>
        <v>0</v>
      </c>
      <c r="BL211" s="6" t="s">
        <v>161</v>
      </c>
    </row>
    <row r="212" spans="2:64" s="123" customFormat="1" ht="30.75" customHeight="1" x14ac:dyDescent="0.3">
      <c r="B212" s="124"/>
      <c r="C212" s="125"/>
      <c r="D212" s="133" t="s">
        <v>127</v>
      </c>
      <c r="E212" s="125"/>
      <c r="F212" s="125"/>
      <c r="G212" s="125"/>
      <c r="H212" s="125"/>
      <c r="I212" s="125"/>
      <c r="J212" s="125"/>
      <c r="K212" s="125"/>
      <c r="L212" s="125"/>
      <c r="M212" s="125"/>
      <c r="N212" s="195">
        <f>$BK$212</f>
        <v>0</v>
      </c>
      <c r="O212" s="196"/>
      <c r="P212" s="196"/>
      <c r="Q212" s="196"/>
      <c r="R212" s="127"/>
      <c r="T212" s="128"/>
      <c r="U212" s="125"/>
      <c r="V212" s="125"/>
      <c r="W212" s="129">
        <f>SUM($W$213:$W$215)</f>
        <v>24.22476</v>
      </c>
      <c r="X212" s="125"/>
      <c r="Y212" s="129">
        <f>SUM($Y$213:$Y$215)</f>
        <v>0.62449920000000003</v>
      </c>
      <c r="Z212" s="125"/>
      <c r="AA212" s="130">
        <f>SUM($AA$213:$AA$215)</f>
        <v>0</v>
      </c>
      <c r="AR212" s="131" t="s">
        <v>102</v>
      </c>
      <c r="AT212" s="131" t="s">
        <v>71</v>
      </c>
      <c r="AU212" s="131" t="s">
        <v>17</v>
      </c>
      <c r="AY212" s="131" t="s">
        <v>156</v>
      </c>
      <c r="BK212" s="132">
        <f>SUM($BK$213:$BK$215)</f>
        <v>0</v>
      </c>
    </row>
    <row r="213" spans="2:64" s="6" customFormat="1" ht="27" customHeight="1" x14ac:dyDescent="0.3">
      <c r="B213" s="22"/>
      <c r="C213" s="134" t="s">
        <v>346</v>
      </c>
      <c r="D213" s="134" t="s">
        <v>157</v>
      </c>
      <c r="E213" s="135" t="s">
        <v>359</v>
      </c>
      <c r="F213" s="205" t="s">
        <v>360</v>
      </c>
      <c r="G213" s="202"/>
      <c r="H213" s="202"/>
      <c r="I213" s="202"/>
      <c r="J213" s="136" t="s">
        <v>160</v>
      </c>
      <c r="K213" s="137">
        <v>16.68</v>
      </c>
      <c r="L213" s="201">
        <v>0</v>
      </c>
      <c r="M213" s="202"/>
      <c r="N213" s="203">
        <f>ROUND($L$213*$K$213,2)</f>
        <v>0</v>
      </c>
      <c r="O213" s="202"/>
      <c r="P213" s="202"/>
      <c r="Q213" s="202"/>
      <c r="R213" s="24"/>
      <c r="T213" s="138"/>
      <c r="U213" s="30" t="s">
        <v>37</v>
      </c>
      <c r="V213" s="139">
        <v>1.405</v>
      </c>
      <c r="W213" s="139">
        <f>$V$213*$K$213</f>
        <v>23.435400000000001</v>
      </c>
      <c r="X213" s="139">
        <v>2.4459999999999999E-2</v>
      </c>
      <c r="Y213" s="139">
        <f>$X$213*$K$213</f>
        <v>0.40799279999999999</v>
      </c>
      <c r="Z213" s="139">
        <v>0</v>
      </c>
      <c r="AA213" s="140">
        <f>$Z$213*$K$213</f>
        <v>0</v>
      </c>
      <c r="AR213" s="6" t="s">
        <v>161</v>
      </c>
      <c r="AT213" s="6" t="s">
        <v>157</v>
      </c>
      <c r="AU213" s="6" t="s">
        <v>102</v>
      </c>
      <c r="AY213" s="6" t="s">
        <v>156</v>
      </c>
      <c r="BE213" s="88">
        <f>IF($U$213="základní",$N$213,0)</f>
        <v>0</v>
      </c>
      <c r="BF213" s="88">
        <f>IF($U$213="snížená",$N$213,0)</f>
        <v>0</v>
      </c>
      <c r="BG213" s="88">
        <f>IF($U$213="zákl. přenesená",$N$213,0)</f>
        <v>0</v>
      </c>
      <c r="BH213" s="88">
        <f>IF($U$213="sníž. přenesená",$N$213,0)</f>
        <v>0</v>
      </c>
      <c r="BI213" s="88">
        <f>IF($U$213="nulová",$N$213,0)</f>
        <v>0</v>
      </c>
      <c r="BJ213" s="6" t="s">
        <v>17</v>
      </c>
      <c r="BK213" s="88">
        <f>ROUND($L$213*$K$213,2)</f>
        <v>0</v>
      </c>
      <c r="BL213" s="6" t="s">
        <v>161</v>
      </c>
    </row>
    <row r="214" spans="2:64" s="6" customFormat="1" ht="27" customHeight="1" x14ac:dyDescent="0.3">
      <c r="B214" s="22"/>
      <c r="C214" s="141" t="s">
        <v>349</v>
      </c>
      <c r="D214" s="141" t="s">
        <v>313</v>
      </c>
      <c r="E214" s="142" t="s">
        <v>362</v>
      </c>
      <c r="F214" s="206" t="s">
        <v>363</v>
      </c>
      <c r="G214" s="207"/>
      <c r="H214" s="207"/>
      <c r="I214" s="207"/>
      <c r="J214" s="143" t="s">
        <v>160</v>
      </c>
      <c r="K214" s="144">
        <v>18.347999999999999</v>
      </c>
      <c r="L214" s="208">
        <v>0</v>
      </c>
      <c r="M214" s="207"/>
      <c r="N214" s="209">
        <f>ROUND($L$214*$K$214,2)</f>
        <v>0</v>
      </c>
      <c r="O214" s="202"/>
      <c r="P214" s="202"/>
      <c r="Q214" s="202"/>
      <c r="R214" s="24"/>
      <c r="T214" s="138"/>
      <c r="U214" s="30" t="s">
        <v>37</v>
      </c>
      <c r="V214" s="139">
        <v>0</v>
      </c>
      <c r="W214" s="139">
        <f>$V$214*$K$214</f>
        <v>0</v>
      </c>
      <c r="X214" s="139">
        <v>1.18E-2</v>
      </c>
      <c r="Y214" s="139">
        <f>$X$214*$K$214</f>
        <v>0.21650639999999999</v>
      </c>
      <c r="Z214" s="139">
        <v>0</v>
      </c>
      <c r="AA214" s="140">
        <f>$Z$214*$K$214</f>
        <v>0</v>
      </c>
      <c r="AR214" s="6" t="s">
        <v>251</v>
      </c>
      <c r="AT214" s="6" t="s">
        <v>313</v>
      </c>
      <c r="AU214" s="6" t="s">
        <v>102</v>
      </c>
      <c r="AY214" s="6" t="s">
        <v>156</v>
      </c>
      <c r="BE214" s="88">
        <f>IF($U$214="základní",$N$214,0)</f>
        <v>0</v>
      </c>
      <c r="BF214" s="88">
        <f>IF($U$214="snížená",$N$214,0)</f>
        <v>0</v>
      </c>
      <c r="BG214" s="88">
        <f>IF($U$214="zákl. přenesená",$N$214,0)</f>
        <v>0</v>
      </c>
      <c r="BH214" s="88">
        <f>IF($U$214="sníž. přenesená",$N$214,0)</f>
        <v>0</v>
      </c>
      <c r="BI214" s="88">
        <f>IF($U$214="nulová",$N$214,0)</f>
        <v>0</v>
      </c>
      <c r="BJ214" s="6" t="s">
        <v>17</v>
      </c>
      <c r="BK214" s="88">
        <f>ROUND($L$214*$K$214,2)</f>
        <v>0</v>
      </c>
      <c r="BL214" s="6" t="s">
        <v>161</v>
      </c>
    </row>
    <row r="215" spans="2:64" s="6" customFormat="1" ht="27" customHeight="1" x14ac:dyDescent="0.3">
      <c r="B215" s="22"/>
      <c r="C215" s="134" t="s">
        <v>352</v>
      </c>
      <c r="D215" s="134" t="s">
        <v>157</v>
      </c>
      <c r="E215" s="135" t="s">
        <v>365</v>
      </c>
      <c r="F215" s="205" t="s">
        <v>366</v>
      </c>
      <c r="G215" s="202"/>
      <c r="H215" s="202"/>
      <c r="I215" s="202"/>
      <c r="J215" s="136" t="s">
        <v>204</v>
      </c>
      <c r="K215" s="137">
        <v>0.624</v>
      </c>
      <c r="L215" s="201">
        <v>0</v>
      </c>
      <c r="M215" s="202"/>
      <c r="N215" s="203">
        <f>ROUND($L$215*$K$215,2)</f>
        <v>0</v>
      </c>
      <c r="O215" s="202"/>
      <c r="P215" s="202"/>
      <c r="Q215" s="202"/>
      <c r="R215" s="24"/>
      <c r="T215" s="138"/>
      <c r="U215" s="30" t="s">
        <v>37</v>
      </c>
      <c r="V215" s="139">
        <v>1.2649999999999999</v>
      </c>
      <c r="W215" s="139">
        <f>$V$215*$K$215</f>
        <v>0.78935999999999995</v>
      </c>
      <c r="X215" s="139">
        <v>0</v>
      </c>
      <c r="Y215" s="139">
        <f>$X$215*$K$215</f>
        <v>0</v>
      </c>
      <c r="Z215" s="139">
        <v>0</v>
      </c>
      <c r="AA215" s="140">
        <f>$Z$215*$K$215</f>
        <v>0</v>
      </c>
      <c r="AR215" s="6" t="s">
        <v>161</v>
      </c>
      <c r="AT215" s="6" t="s">
        <v>157</v>
      </c>
      <c r="AU215" s="6" t="s">
        <v>102</v>
      </c>
      <c r="AY215" s="6" t="s">
        <v>156</v>
      </c>
      <c r="BE215" s="88">
        <f>IF($U$215="základní",$N$215,0)</f>
        <v>0</v>
      </c>
      <c r="BF215" s="88">
        <f>IF($U$215="snížená",$N$215,0)</f>
        <v>0</v>
      </c>
      <c r="BG215" s="88">
        <f>IF($U$215="zákl. přenesená",$N$215,0)</f>
        <v>0</v>
      </c>
      <c r="BH215" s="88">
        <f>IF($U$215="sníž. přenesená",$N$215,0)</f>
        <v>0</v>
      </c>
      <c r="BI215" s="88">
        <f>IF($U$215="nulová",$N$215,0)</f>
        <v>0</v>
      </c>
      <c r="BJ215" s="6" t="s">
        <v>17</v>
      </c>
      <c r="BK215" s="88">
        <f>ROUND($L$215*$K$215,2)</f>
        <v>0</v>
      </c>
      <c r="BL215" s="6" t="s">
        <v>161</v>
      </c>
    </row>
    <row r="216" spans="2:64" s="123" customFormat="1" ht="30.75" customHeight="1" x14ac:dyDescent="0.3">
      <c r="B216" s="124"/>
      <c r="C216" s="125"/>
      <c r="D216" s="133" t="s">
        <v>128</v>
      </c>
      <c r="E216" s="125"/>
      <c r="F216" s="125"/>
      <c r="G216" s="125"/>
      <c r="H216" s="125"/>
      <c r="I216" s="125"/>
      <c r="J216" s="125"/>
      <c r="K216" s="125"/>
      <c r="L216" s="125"/>
      <c r="M216" s="125"/>
      <c r="N216" s="195">
        <f>$BK$216</f>
        <v>0</v>
      </c>
      <c r="O216" s="196"/>
      <c r="P216" s="196"/>
      <c r="Q216" s="196"/>
      <c r="R216" s="127"/>
      <c r="T216" s="128"/>
      <c r="U216" s="125"/>
      <c r="V216" s="125"/>
      <c r="W216" s="129">
        <f>$W$217</f>
        <v>0.3</v>
      </c>
      <c r="X216" s="125"/>
      <c r="Y216" s="129">
        <f>$Y$217</f>
        <v>8.0000000000000004E-4</v>
      </c>
      <c r="Z216" s="125"/>
      <c r="AA216" s="130">
        <f>$AA$217</f>
        <v>0</v>
      </c>
      <c r="AR216" s="131" t="s">
        <v>102</v>
      </c>
      <c r="AT216" s="131" t="s">
        <v>71</v>
      </c>
      <c r="AU216" s="131" t="s">
        <v>17</v>
      </c>
      <c r="AY216" s="131" t="s">
        <v>156</v>
      </c>
      <c r="BK216" s="132">
        <f>$BK$217</f>
        <v>0</v>
      </c>
    </row>
    <row r="217" spans="2:64" s="6" customFormat="1" ht="27" customHeight="1" x14ac:dyDescent="0.3">
      <c r="B217" s="22"/>
      <c r="C217" s="134" t="s">
        <v>355</v>
      </c>
      <c r="D217" s="134" t="s">
        <v>157</v>
      </c>
      <c r="E217" s="135" t="s">
        <v>368</v>
      </c>
      <c r="F217" s="205" t="s">
        <v>369</v>
      </c>
      <c r="G217" s="202"/>
      <c r="H217" s="202"/>
      <c r="I217" s="202"/>
      <c r="J217" s="136" t="s">
        <v>176</v>
      </c>
      <c r="K217" s="137">
        <v>1</v>
      </c>
      <c r="L217" s="201">
        <v>0</v>
      </c>
      <c r="M217" s="202"/>
      <c r="N217" s="203">
        <f>ROUND($L$217*$K$217,2)</f>
        <v>0</v>
      </c>
      <c r="O217" s="202"/>
      <c r="P217" s="202"/>
      <c r="Q217" s="202"/>
      <c r="R217" s="24"/>
      <c r="T217" s="138"/>
      <c r="U217" s="30" t="s">
        <v>37</v>
      </c>
      <c r="V217" s="139">
        <v>0.3</v>
      </c>
      <c r="W217" s="139">
        <f>$V$217*$K$217</f>
        <v>0.3</v>
      </c>
      <c r="X217" s="139">
        <v>8.0000000000000004E-4</v>
      </c>
      <c r="Y217" s="139">
        <f>$X$217*$K$217</f>
        <v>8.0000000000000004E-4</v>
      </c>
      <c r="Z217" s="139">
        <v>0</v>
      </c>
      <c r="AA217" s="140">
        <f>$Z$217*$K$217</f>
        <v>0</v>
      </c>
      <c r="AR217" s="6" t="s">
        <v>161</v>
      </c>
      <c r="AT217" s="6" t="s">
        <v>157</v>
      </c>
      <c r="AU217" s="6" t="s">
        <v>102</v>
      </c>
      <c r="AY217" s="6" t="s">
        <v>156</v>
      </c>
      <c r="BE217" s="88">
        <f>IF($U$217="základní",$N$217,0)</f>
        <v>0</v>
      </c>
      <c r="BF217" s="88">
        <f>IF($U$217="snížená",$N$217,0)</f>
        <v>0</v>
      </c>
      <c r="BG217" s="88">
        <f>IF($U$217="zákl. přenesená",$N$217,0)</f>
        <v>0</v>
      </c>
      <c r="BH217" s="88">
        <f>IF($U$217="sníž. přenesená",$N$217,0)</f>
        <v>0</v>
      </c>
      <c r="BI217" s="88">
        <f>IF($U$217="nulová",$N$217,0)</f>
        <v>0</v>
      </c>
      <c r="BJ217" s="6" t="s">
        <v>17</v>
      </c>
      <c r="BK217" s="88">
        <f>ROUND($L$217*$K$217,2)</f>
        <v>0</v>
      </c>
      <c r="BL217" s="6" t="s">
        <v>161</v>
      </c>
    </row>
    <row r="218" spans="2:64" s="123" customFormat="1" ht="30.75" customHeight="1" x14ac:dyDescent="0.3">
      <c r="B218" s="124"/>
      <c r="C218" s="125"/>
      <c r="D218" s="133" t="s">
        <v>129</v>
      </c>
      <c r="E218" s="125"/>
      <c r="F218" s="125"/>
      <c r="G218" s="125"/>
      <c r="H218" s="125"/>
      <c r="I218" s="125"/>
      <c r="J218" s="125"/>
      <c r="K218" s="125"/>
      <c r="L218" s="125"/>
      <c r="M218" s="125"/>
      <c r="N218" s="195">
        <f>$BK$218</f>
        <v>0</v>
      </c>
      <c r="O218" s="196"/>
      <c r="P218" s="196"/>
      <c r="Q218" s="196"/>
      <c r="R218" s="127"/>
      <c r="T218" s="128"/>
      <c r="U218" s="125"/>
      <c r="V218" s="125"/>
      <c r="W218" s="129">
        <f>SUM($W$219:$W$222)</f>
        <v>7.3423999999999996</v>
      </c>
      <c r="X218" s="125"/>
      <c r="Y218" s="129">
        <f>SUM($Y$219:$Y$222)</f>
        <v>5.2596999999999991E-2</v>
      </c>
      <c r="Z218" s="125"/>
      <c r="AA218" s="130">
        <f>SUM($AA$219:$AA$222)</f>
        <v>1.0943E-2</v>
      </c>
      <c r="AR218" s="131" t="s">
        <v>102</v>
      </c>
      <c r="AT218" s="131" t="s">
        <v>71</v>
      </c>
      <c r="AU218" s="131" t="s">
        <v>17</v>
      </c>
      <c r="AY218" s="131" t="s">
        <v>156</v>
      </c>
      <c r="BK218" s="132">
        <f>SUM($BK$219:$BK$222)</f>
        <v>0</v>
      </c>
    </row>
    <row r="219" spans="2:64" s="6" customFormat="1" ht="15.75" customHeight="1" x14ac:dyDescent="0.3">
      <c r="B219" s="22"/>
      <c r="C219" s="134" t="s">
        <v>358</v>
      </c>
      <c r="D219" s="134" t="s">
        <v>157</v>
      </c>
      <c r="E219" s="135" t="s">
        <v>371</v>
      </c>
      <c r="F219" s="205" t="s">
        <v>372</v>
      </c>
      <c r="G219" s="202"/>
      <c r="H219" s="202"/>
      <c r="I219" s="202"/>
      <c r="J219" s="136" t="s">
        <v>160</v>
      </c>
      <c r="K219" s="137">
        <v>35.299999999999997</v>
      </c>
      <c r="L219" s="201">
        <v>0</v>
      </c>
      <c r="M219" s="202"/>
      <c r="N219" s="203">
        <f>ROUND($L$219*$K$219,2)</f>
        <v>0</v>
      </c>
      <c r="O219" s="202"/>
      <c r="P219" s="202"/>
      <c r="Q219" s="202"/>
      <c r="R219" s="24"/>
      <c r="T219" s="138"/>
      <c r="U219" s="30" t="s">
        <v>37</v>
      </c>
      <c r="V219" s="139">
        <v>7.3999999999999996E-2</v>
      </c>
      <c r="W219" s="139">
        <f>$V$219*$K$219</f>
        <v>2.6121999999999996</v>
      </c>
      <c r="X219" s="139">
        <v>1E-3</v>
      </c>
      <c r="Y219" s="139">
        <f>$X$219*$K$219</f>
        <v>3.5299999999999998E-2</v>
      </c>
      <c r="Z219" s="139">
        <v>3.1E-4</v>
      </c>
      <c r="AA219" s="140">
        <f>$Z$219*$K$219</f>
        <v>1.0943E-2</v>
      </c>
      <c r="AR219" s="6" t="s">
        <v>161</v>
      </c>
      <c r="AT219" s="6" t="s">
        <v>157</v>
      </c>
      <c r="AU219" s="6" t="s">
        <v>102</v>
      </c>
      <c r="AY219" s="6" t="s">
        <v>156</v>
      </c>
      <c r="BE219" s="88">
        <f>IF($U$219="základní",$N$219,0)</f>
        <v>0</v>
      </c>
      <c r="BF219" s="88">
        <f>IF($U$219="snížená",$N$219,0)</f>
        <v>0</v>
      </c>
      <c r="BG219" s="88">
        <f>IF($U$219="zákl. přenesená",$N$219,0)</f>
        <v>0</v>
      </c>
      <c r="BH219" s="88">
        <f>IF($U$219="sníž. přenesená",$N$219,0)</f>
        <v>0</v>
      </c>
      <c r="BI219" s="88">
        <f>IF($U$219="nulová",$N$219,0)</f>
        <v>0</v>
      </c>
      <c r="BJ219" s="6" t="s">
        <v>17</v>
      </c>
      <c r="BK219" s="88">
        <f>ROUND($L$219*$K$219,2)</f>
        <v>0</v>
      </c>
      <c r="BL219" s="6" t="s">
        <v>161</v>
      </c>
    </row>
    <row r="220" spans="2:64" s="6" customFormat="1" ht="27" customHeight="1" x14ac:dyDescent="0.3">
      <c r="B220" s="22"/>
      <c r="C220" s="134" t="s">
        <v>361</v>
      </c>
      <c r="D220" s="134" t="s">
        <v>157</v>
      </c>
      <c r="E220" s="135" t="s">
        <v>374</v>
      </c>
      <c r="F220" s="205" t="s">
        <v>375</v>
      </c>
      <c r="G220" s="202"/>
      <c r="H220" s="202"/>
      <c r="I220" s="202"/>
      <c r="J220" s="136" t="s">
        <v>160</v>
      </c>
      <c r="K220" s="137">
        <v>35.299999999999997</v>
      </c>
      <c r="L220" s="201">
        <v>0</v>
      </c>
      <c r="M220" s="202"/>
      <c r="N220" s="203">
        <f>ROUND($L$220*$K$220,2)</f>
        <v>0</v>
      </c>
      <c r="O220" s="202"/>
      <c r="P220" s="202"/>
      <c r="Q220" s="202"/>
      <c r="R220" s="24"/>
      <c r="T220" s="138"/>
      <c r="U220" s="30" t="s">
        <v>37</v>
      </c>
      <c r="V220" s="139">
        <v>3.6999999999999998E-2</v>
      </c>
      <c r="W220" s="139">
        <f>$V$220*$K$220</f>
        <v>1.3060999999999998</v>
      </c>
      <c r="X220" s="139">
        <v>0</v>
      </c>
      <c r="Y220" s="139">
        <f>$X$220*$K$220</f>
        <v>0</v>
      </c>
      <c r="Z220" s="139">
        <v>0</v>
      </c>
      <c r="AA220" s="140">
        <f>$Z$220*$K$220</f>
        <v>0</v>
      </c>
      <c r="AR220" s="6" t="s">
        <v>161</v>
      </c>
      <c r="AT220" s="6" t="s">
        <v>157</v>
      </c>
      <c r="AU220" s="6" t="s">
        <v>102</v>
      </c>
      <c r="AY220" s="6" t="s">
        <v>156</v>
      </c>
      <c r="BE220" s="88">
        <f>IF($U$220="základní",$N$220,0)</f>
        <v>0</v>
      </c>
      <c r="BF220" s="88">
        <f>IF($U$220="snížená",$N$220,0)</f>
        <v>0</v>
      </c>
      <c r="BG220" s="88">
        <f>IF($U$220="zákl. přenesená",$N$220,0)</f>
        <v>0</v>
      </c>
      <c r="BH220" s="88">
        <f>IF($U$220="sníž. přenesená",$N$220,0)</f>
        <v>0</v>
      </c>
      <c r="BI220" s="88">
        <f>IF($U$220="nulová",$N$220,0)</f>
        <v>0</v>
      </c>
      <c r="BJ220" s="6" t="s">
        <v>17</v>
      </c>
      <c r="BK220" s="88">
        <f>ROUND($L$220*$K$220,2)</f>
        <v>0</v>
      </c>
      <c r="BL220" s="6" t="s">
        <v>161</v>
      </c>
    </row>
    <row r="221" spans="2:64" s="6" customFormat="1" ht="27" customHeight="1" x14ac:dyDescent="0.3">
      <c r="B221" s="22"/>
      <c r="C221" s="134" t="s">
        <v>364</v>
      </c>
      <c r="D221" s="134" t="s">
        <v>157</v>
      </c>
      <c r="E221" s="135" t="s">
        <v>377</v>
      </c>
      <c r="F221" s="205" t="s">
        <v>378</v>
      </c>
      <c r="G221" s="202"/>
      <c r="H221" s="202"/>
      <c r="I221" s="202"/>
      <c r="J221" s="136" t="s">
        <v>160</v>
      </c>
      <c r="K221" s="137">
        <v>35.299999999999997</v>
      </c>
      <c r="L221" s="201">
        <v>0</v>
      </c>
      <c r="M221" s="202"/>
      <c r="N221" s="203">
        <f>ROUND($L$221*$K$221,2)</f>
        <v>0</v>
      </c>
      <c r="O221" s="202"/>
      <c r="P221" s="202"/>
      <c r="Q221" s="202"/>
      <c r="R221" s="24"/>
      <c r="T221" s="138"/>
      <c r="U221" s="30" t="s">
        <v>37</v>
      </c>
      <c r="V221" s="139">
        <v>3.3000000000000002E-2</v>
      </c>
      <c r="W221" s="139">
        <f>$V$221*$K$221</f>
        <v>1.1649</v>
      </c>
      <c r="X221" s="139">
        <v>2.0000000000000001E-4</v>
      </c>
      <c r="Y221" s="139">
        <f>$X$221*$K$221</f>
        <v>7.0599999999999994E-3</v>
      </c>
      <c r="Z221" s="139">
        <v>0</v>
      </c>
      <c r="AA221" s="140">
        <f>$Z$221*$K$221</f>
        <v>0</v>
      </c>
      <c r="AR221" s="6" t="s">
        <v>161</v>
      </c>
      <c r="AT221" s="6" t="s">
        <v>157</v>
      </c>
      <c r="AU221" s="6" t="s">
        <v>102</v>
      </c>
      <c r="AY221" s="6" t="s">
        <v>156</v>
      </c>
      <c r="BE221" s="88">
        <f>IF($U$221="základní",$N$221,0)</f>
        <v>0</v>
      </c>
      <c r="BF221" s="88">
        <f>IF($U$221="snížená",$N$221,0)</f>
        <v>0</v>
      </c>
      <c r="BG221" s="88">
        <f>IF($U$221="zákl. přenesená",$N$221,0)</f>
        <v>0</v>
      </c>
      <c r="BH221" s="88">
        <f>IF($U$221="sníž. přenesená",$N$221,0)</f>
        <v>0</v>
      </c>
      <c r="BI221" s="88">
        <f>IF($U$221="nulová",$N$221,0)</f>
        <v>0</v>
      </c>
      <c r="BJ221" s="6" t="s">
        <v>17</v>
      </c>
      <c r="BK221" s="88">
        <f>ROUND($L$221*$K$221,2)</f>
        <v>0</v>
      </c>
      <c r="BL221" s="6" t="s">
        <v>161</v>
      </c>
    </row>
    <row r="222" spans="2:64" s="6" customFormat="1" ht="27" customHeight="1" x14ac:dyDescent="0.3">
      <c r="B222" s="22"/>
      <c r="C222" s="134" t="s">
        <v>367</v>
      </c>
      <c r="D222" s="134" t="s">
        <v>157</v>
      </c>
      <c r="E222" s="135" t="s">
        <v>380</v>
      </c>
      <c r="F222" s="205" t="s">
        <v>381</v>
      </c>
      <c r="G222" s="202"/>
      <c r="H222" s="202"/>
      <c r="I222" s="202"/>
      <c r="J222" s="136" t="s">
        <v>160</v>
      </c>
      <c r="K222" s="137">
        <v>35.299999999999997</v>
      </c>
      <c r="L222" s="201">
        <v>0</v>
      </c>
      <c r="M222" s="202"/>
      <c r="N222" s="203">
        <f>ROUND($L$222*$K$222,2)</f>
        <v>0</v>
      </c>
      <c r="O222" s="202"/>
      <c r="P222" s="202"/>
      <c r="Q222" s="202"/>
      <c r="R222" s="24"/>
      <c r="T222" s="138"/>
      <c r="U222" s="30" t="s">
        <v>37</v>
      </c>
      <c r="V222" s="139">
        <v>6.4000000000000001E-2</v>
      </c>
      <c r="W222" s="139">
        <f>$V$222*$K$222</f>
        <v>2.2591999999999999</v>
      </c>
      <c r="X222" s="139">
        <v>2.9E-4</v>
      </c>
      <c r="Y222" s="139">
        <f>$X$222*$K$222</f>
        <v>1.0237E-2</v>
      </c>
      <c r="Z222" s="139">
        <v>0</v>
      </c>
      <c r="AA222" s="140">
        <f>$Z$222*$K$222</f>
        <v>0</v>
      </c>
      <c r="AR222" s="6" t="s">
        <v>161</v>
      </c>
      <c r="AT222" s="6" t="s">
        <v>157</v>
      </c>
      <c r="AU222" s="6" t="s">
        <v>102</v>
      </c>
      <c r="AY222" s="6" t="s">
        <v>156</v>
      </c>
      <c r="BE222" s="88">
        <f>IF($U$222="základní",$N$222,0)</f>
        <v>0</v>
      </c>
      <c r="BF222" s="88">
        <f>IF($U$222="snížená",$N$222,0)</f>
        <v>0</v>
      </c>
      <c r="BG222" s="88">
        <f>IF($U$222="zákl. přenesená",$N$222,0)</f>
        <v>0</v>
      </c>
      <c r="BH222" s="88">
        <f>IF($U$222="sníž. přenesená",$N$222,0)</f>
        <v>0</v>
      </c>
      <c r="BI222" s="88">
        <f>IF($U$222="nulová",$N$222,0)</f>
        <v>0</v>
      </c>
      <c r="BJ222" s="6" t="s">
        <v>17</v>
      </c>
      <c r="BK222" s="88">
        <f>ROUND($L$222*$K$222,2)</f>
        <v>0</v>
      </c>
      <c r="BL222" s="6" t="s">
        <v>161</v>
      </c>
    </row>
    <row r="223" spans="2:64" s="123" customFormat="1" ht="37.5" customHeight="1" x14ac:dyDescent="0.35">
      <c r="B223" s="124"/>
      <c r="C223" s="125"/>
      <c r="D223" s="126" t="s">
        <v>130</v>
      </c>
      <c r="E223" s="125"/>
      <c r="F223" s="125"/>
      <c r="G223" s="125"/>
      <c r="H223" s="125"/>
      <c r="I223" s="125"/>
      <c r="J223" s="125"/>
      <c r="K223" s="125"/>
      <c r="L223" s="125"/>
      <c r="M223" s="125"/>
      <c r="N223" s="197">
        <f>$BK$223</f>
        <v>0</v>
      </c>
      <c r="O223" s="196"/>
      <c r="P223" s="196"/>
      <c r="Q223" s="196"/>
      <c r="R223" s="127"/>
      <c r="T223" s="128"/>
      <c r="U223" s="125"/>
      <c r="V223" s="125"/>
      <c r="W223" s="129">
        <f>$W$224</f>
        <v>10</v>
      </c>
      <c r="X223" s="125"/>
      <c r="Y223" s="129">
        <f>$Y$224</f>
        <v>0</v>
      </c>
      <c r="Z223" s="125"/>
      <c r="AA223" s="130">
        <f>$AA$224</f>
        <v>0</v>
      </c>
      <c r="AR223" s="131" t="s">
        <v>167</v>
      </c>
      <c r="AT223" s="131" t="s">
        <v>71</v>
      </c>
      <c r="AU223" s="131" t="s">
        <v>72</v>
      </c>
      <c r="AY223" s="131" t="s">
        <v>156</v>
      </c>
      <c r="BK223" s="132">
        <f>$BK$224</f>
        <v>0</v>
      </c>
    </row>
    <row r="224" spans="2:64" s="6" customFormat="1" ht="39" customHeight="1" x14ac:dyDescent="0.3">
      <c r="B224" s="22"/>
      <c r="C224" s="134" t="s">
        <v>370</v>
      </c>
      <c r="D224" s="134" t="s">
        <v>157</v>
      </c>
      <c r="E224" s="135" t="s">
        <v>383</v>
      </c>
      <c r="F224" s="205" t="s">
        <v>384</v>
      </c>
      <c r="G224" s="202"/>
      <c r="H224" s="202"/>
      <c r="I224" s="202"/>
      <c r="J224" s="136" t="s">
        <v>385</v>
      </c>
      <c r="K224" s="137">
        <v>10</v>
      </c>
      <c r="L224" s="201">
        <v>0</v>
      </c>
      <c r="M224" s="202"/>
      <c r="N224" s="203">
        <f>ROUND($L$224*$K$224,2)</f>
        <v>0</v>
      </c>
      <c r="O224" s="202"/>
      <c r="P224" s="202"/>
      <c r="Q224" s="202"/>
      <c r="R224" s="24"/>
      <c r="T224" s="138"/>
      <c r="U224" s="30" t="s">
        <v>37</v>
      </c>
      <c r="V224" s="139">
        <v>1</v>
      </c>
      <c r="W224" s="139">
        <f>$V$224*$K$224</f>
        <v>10</v>
      </c>
      <c r="X224" s="139">
        <v>0</v>
      </c>
      <c r="Y224" s="139">
        <f>$X$224*$K$224</f>
        <v>0</v>
      </c>
      <c r="Z224" s="139">
        <v>0</v>
      </c>
      <c r="AA224" s="140">
        <f>$Z$224*$K$224</f>
        <v>0</v>
      </c>
      <c r="AR224" s="6" t="s">
        <v>161</v>
      </c>
      <c r="AT224" s="6" t="s">
        <v>157</v>
      </c>
      <c r="AU224" s="6" t="s">
        <v>17</v>
      </c>
      <c r="AY224" s="6" t="s">
        <v>156</v>
      </c>
      <c r="BE224" s="88">
        <f>IF($U$224="základní",$N$224,0)</f>
        <v>0</v>
      </c>
      <c r="BF224" s="88">
        <f>IF($U$224="snížená",$N$224,0)</f>
        <v>0</v>
      </c>
      <c r="BG224" s="88">
        <f>IF($U$224="zákl. přenesená",$N$224,0)</f>
        <v>0</v>
      </c>
      <c r="BH224" s="88">
        <f>IF($U$224="sníž. přenesená",$N$224,0)</f>
        <v>0</v>
      </c>
      <c r="BI224" s="88">
        <f>IF($U$224="nulová",$N$224,0)</f>
        <v>0</v>
      </c>
      <c r="BJ224" s="6" t="s">
        <v>17</v>
      </c>
      <c r="BK224" s="88">
        <f>ROUND($L$224*$K$224,2)</f>
        <v>0</v>
      </c>
      <c r="BL224" s="6" t="s">
        <v>161</v>
      </c>
    </row>
    <row r="225" spans="2:63" s="6" customFormat="1" ht="51" customHeight="1" x14ac:dyDescent="0.35">
      <c r="B225" s="22"/>
      <c r="C225" s="23"/>
      <c r="D225" s="126" t="s">
        <v>386</v>
      </c>
      <c r="E225" s="23"/>
      <c r="F225" s="23"/>
      <c r="G225" s="23"/>
      <c r="H225" s="23"/>
      <c r="I225" s="23"/>
      <c r="J225" s="23"/>
      <c r="K225" s="23"/>
      <c r="L225" s="23"/>
      <c r="M225" s="23"/>
      <c r="N225" s="197">
        <f>$BK$225</f>
        <v>0</v>
      </c>
      <c r="O225" s="161"/>
      <c r="P225" s="161"/>
      <c r="Q225" s="161"/>
      <c r="R225" s="24"/>
      <c r="T225" s="59"/>
      <c r="U225" s="23"/>
      <c r="V225" s="23"/>
      <c r="W225" s="23"/>
      <c r="X225" s="23"/>
      <c r="Y225" s="23"/>
      <c r="Z225" s="23"/>
      <c r="AA225" s="60"/>
      <c r="AT225" s="6" t="s">
        <v>71</v>
      </c>
      <c r="AU225" s="6" t="s">
        <v>72</v>
      </c>
      <c r="AY225" s="6" t="s">
        <v>387</v>
      </c>
      <c r="BK225" s="88">
        <f>$BK$226</f>
        <v>0</v>
      </c>
    </row>
    <row r="226" spans="2:63" s="6" customFormat="1" ht="23.25" customHeight="1" x14ac:dyDescent="0.3">
      <c r="B226" s="22"/>
      <c r="C226" s="145"/>
      <c r="D226" s="145" t="s">
        <v>157</v>
      </c>
      <c r="E226" s="146"/>
      <c r="F226" s="199"/>
      <c r="G226" s="200"/>
      <c r="H226" s="200"/>
      <c r="I226" s="200"/>
      <c r="J226" s="147"/>
      <c r="K226" s="148"/>
      <c r="L226" s="201"/>
      <c r="M226" s="202"/>
      <c r="N226" s="203">
        <f>$BK$226</f>
        <v>0</v>
      </c>
      <c r="O226" s="202"/>
      <c r="P226" s="202"/>
      <c r="Q226" s="202"/>
      <c r="R226" s="24"/>
      <c r="T226" s="138"/>
      <c r="U226" s="149" t="s">
        <v>37</v>
      </c>
      <c r="V226" s="42"/>
      <c r="W226" s="42"/>
      <c r="X226" s="42"/>
      <c r="Y226" s="42"/>
      <c r="Z226" s="42"/>
      <c r="AA226" s="44"/>
      <c r="AT226" s="6" t="s">
        <v>387</v>
      </c>
      <c r="AU226" s="6" t="s">
        <v>17</v>
      </c>
      <c r="AY226" s="6" t="s">
        <v>387</v>
      </c>
      <c r="BE226" s="88">
        <f>IF($U$226="základní",$N$226,0)</f>
        <v>0</v>
      </c>
      <c r="BF226" s="88">
        <f>IF($U$226="snížená",$N$226,0)</f>
        <v>0</v>
      </c>
      <c r="BG226" s="88">
        <f>IF($U$226="zákl. přenesená",$N$226,0)</f>
        <v>0</v>
      </c>
      <c r="BH226" s="88">
        <f>IF($U$226="sníž. přenesená",$N$226,0)</f>
        <v>0</v>
      </c>
      <c r="BI226" s="88">
        <f>IF($U$226="nulová",$N$226,0)</f>
        <v>0</v>
      </c>
      <c r="BJ226" s="6" t="s">
        <v>17</v>
      </c>
      <c r="BK226" s="88">
        <f>$L$226*$K$226</f>
        <v>0</v>
      </c>
    </row>
    <row r="227" spans="2:63" s="6" customFormat="1" ht="7.5" customHeight="1" x14ac:dyDescent="0.3">
      <c r="B227" s="45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7"/>
    </row>
    <row r="233" spans="2:63" s="2" customFormat="1" ht="14.25" customHeight="1" x14ac:dyDescent="0.3"/>
  </sheetData>
  <sheetProtection password="CC35" sheet="1" objects="1" scenarios="1" formatColumns="0" formatRows="0" sort="0" autoFilter="0"/>
  <mergeCells count="31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M24:P24"/>
    <mergeCell ref="M25:P25"/>
    <mergeCell ref="M27:P27"/>
    <mergeCell ref="H29:J29"/>
    <mergeCell ref="M29:P29"/>
    <mergeCell ref="H30:J30"/>
    <mergeCell ref="M30:P30"/>
    <mergeCell ref="H31:J31"/>
    <mergeCell ref="M31:P31"/>
    <mergeCell ref="H32:J32"/>
    <mergeCell ref="M32:P32"/>
    <mergeCell ref="H33:J33"/>
    <mergeCell ref="M33:P33"/>
    <mergeCell ref="L35:P3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10:Q110"/>
    <mergeCell ref="D111:H111"/>
    <mergeCell ref="N111:Q111"/>
    <mergeCell ref="D112:H112"/>
    <mergeCell ref="N112:Q112"/>
    <mergeCell ref="D113:H113"/>
    <mergeCell ref="N113:Q113"/>
    <mergeCell ref="D114:H114"/>
    <mergeCell ref="N114:Q114"/>
    <mergeCell ref="D115:H115"/>
    <mergeCell ref="N115:Q115"/>
    <mergeCell ref="N116:Q116"/>
    <mergeCell ref="L118:Q118"/>
    <mergeCell ref="C124:Q124"/>
    <mergeCell ref="F126:P126"/>
    <mergeCell ref="F127:P127"/>
    <mergeCell ref="M129:P129"/>
    <mergeCell ref="M132:Q132"/>
    <mergeCell ref="F134:I134"/>
    <mergeCell ref="L134:M134"/>
    <mergeCell ref="N134:Q134"/>
    <mergeCell ref="F138:I138"/>
    <mergeCell ref="L138:M138"/>
    <mergeCell ref="N138:Q138"/>
    <mergeCell ref="N135:Q135"/>
    <mergeCell ref="N136:Q136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61:I161"/>
    <mergeCell ref="L161:M161"/>
    <mergeCell ref="N161:Q161"/>
    <mergeCell ref="F162:I162"/>
    <mergeCell ref="L162:M162"/>
    <mergeCell ref="N162:Q162"/>
    <mergeCell ref="F164:I164"/>
    <mergeCell ref="L164:M164"/>
    <mergeCell ref="N164:Q164"/>
    <mergeCell ref="N163:Q163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9:I169"/>
    <mergeCell ref="L169:M169"/>
    <mergeCell ref="N169:Q169"/>
    <mergeCell ref="N168:Q168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3:I193"/>
    <mergeCell ref="L193:M193"/>
    <mergeCell ref="N193:Q193"/>
    <mergeCell ref="F195:I195"/>
    <mergeCell ref="L195:M195"/>
    <mergeCell ref="N195:Q195"/>
    <mergeCell ref="F196:I196"/>
    <mergeCell ref="L196:M196"/>
    <mergeCell ref="N196:Q196"/>
    <mergeCell ref="F198:I198"/>
    <mergeCell ref="L198:M198"/>
    <mergeCell ref="N198:Q198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7:I217"/>
    <mergeCell ref="L217:M217"/>
    <mergeCell ref="N217:Q217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4:I224"/>
    <mergeCell ref="L224:M224"/>
    <mergeCell ref="N224:Q224"/>
    <mergeCell ref="F226:I226"/>
    <mergeCell ref="L226:M226"/>
    <mergeCell ref="N226:Q226"/>
    <mergeCell ref="H1:K1"/>
    <mergeCell ref="N176:Q176"/>
    <mergeCell ref="N192:Q192"/>
    <mergeCell ref="N194:Q194"/>
    <mergeCell ref="N197:Q197"/>
    <mergeCell ref="N199:Q199"/>
    <mergeCell ref="N137:Q137"/>
    <mergeCell ref="N139:Q139"/>
    <mergeCell ref="N145:Q145"/>
    <mergeCell ref="N154:Q154"/>
    <mergeCell ref="S2:AC2"/>
    <mergeCell ref="N212:Q212"/>
    <mergeCell ref="N216:Q216"/>
    <mergeCell ref="N218:Q218"/>
    <mergeCell ref="N223:Q223"/>
    <mergeCell ref="N225:Q225"/>
    <mergeCell ref="N205:Q205"/>
    <mergeCell ref="N159:Q159"/>
    <mergeCell ref="N160:Q160"/>
    <mergeCell ref="M131:Q131"/>
  </mergeCells>
  <dataValidations count="2">
    <dataValidation type="list" allowBlank="1" showInputMessage="1" showErrorMessage="1" error="Povoleny jsou hodnoty K a M." sqref="D226:D227">
      <formula1>"K,M"</formula1>
    </dataValidation>
    <dataValidation type="list" allowBlank="1" showInputMessage="1" showErrorMessage="1" error="Povoleny jsou hodnoty základní, snížená, zákl. přenesená, sníž. přenesená, nulová." sqref="U226:U227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34" tooltip="Rozpočet" display="3) Rozpočet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SO01 - WC dívky a chlapci</vt:lpstr>
      <vt:lpstr>SO02 - WC imobilní</vt:lpstr>
      <vt:lpstr>'Rekapitulace stavby'!Názvy_tisku</vt:lpstr>
      <vt:lpstr>'SO01 - WC dívky a chlapci'!Názvy_tisku</vt:lpstr>
      <vt:lpstr>'SO02 - WC imobilní'!Názvy_tisku</vt:lpstr>
      <vt:lpstr>'Rekapitulace stavby'!Oblast_tisku</vt:lpstr>
      <vt:lpstr>'SO01 - WC dívky a chlapci'!Oblast_tisku</vt:lpstr>
      <vt:lpstr>'SO02 - WC imobilní'!Oblast_tisku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 Aleš</dc:creator>
  <cp:lastModifiedBy>Lada Aleš</cp:lastModifiedBy>
  <dcterms:created xsi:type="dcterms:W3CDTF">2018-05-17T13:01:47Z</dcterms:created>
  <dcterms:modified xsi:type="dcterms:W3CDTF">2018-05-17T13:01:47Z</dcterms:modified>
</cp:coreProperties>
</file>